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48e7562e21a231/proj^J brf ekoxen/"/>
    </mc:Choice>
  </mc:AlternateContent>
  <xr:revisionPtr revIDLastSave="113" documentId="8_{FE4A66B0-3826-4DD1-BF7A-77A0F9A15280}" xr6:coauthVersionLast="43" xr6:coauthVersionMax="43" xr10:uidLastSave="{4EAE9A22-E3E8-4408-A569-91C22AB92A78}"/>
  <bookViews>
    <workbookView xWindow="1275" yWindow="-120" windowWidth="37245" windowHeight="21840" tabRatio="659" firstSheet="1" activeTab="2" xr2:uid="{424D0682-E1B0-4F5D-81A8-527AD25D1AA9}"/>
  </bookViews>
  <sheets>
    <sheet name="3.Just. avskrivningsmodell" sheetId="12" r:id="rId1"/>
    <sheet name="4.Just. avskrivningsmodell (2)" sheetId="9" r:id="rId2"/>
    <sheet name="4.Just. avskrivningsmodell 2_tk" sheetId="14" r:id="rId3"/>
    <sheet name="5.Just. avskrivningsmodell (3)" sheetId="13" r:id="rId4"/>
    <sheet name="1.Avskrivningar med kommentarer" sheetId="6" r:id="rId5"/>
    <sheet name="2.Just. avskrivningar" sheetId="7" r:id="rId6"/>
    <sheet name="0.SABO riktvärden" sheetId="1" r:id="rId7"/>
  </sheets>
  <definedNames>
    <definedName name="_xlnm.Print_Area" localSheetId="4">'1.Avskrivningar med kommentarer'!$A:$L</definedName>
    <definedName name="_xlnm.Print_Area" localSheetId="5">'2.Just. avskrivningar'!$A:$M</definedName>
    <definedName name="_xlnm.Print_Area" localSheetId="0">'3.Just. avskrivningsmodell'!$A:$L</definedName>
    <definedName name="_xlnm.Print_Area" localSheetId="1">'4.Just. avskrivningsmodell (2)'!$A:$L</definedName>
    <definedName name="_xlnm.Print_Area" localSheetId="2">'4.Just. avskrivningsmodell 2_tk'!$B:$M</definedName>
    <definedName name="_xlnm.Print_Area" localSheetId="3">'5.Just. avskrivningsmodell (3)'!$A:$L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14" l="1"/>
  <c r="J49" i="14" s="1"/>
  <c r="K49" i="14" s="1"/>
  <c r="E49" i="14" s="1"/>
  <c r="C14" i="14" l="1"/>
  <c r="C31" i="14" s="1"/>
  <c r="C32" i="14"/>
  <c r="F15" i="14"/>
  <c r="F13" i="14"/>
  <c r="F16" i="14"/>
  <c r="G41" i="14"/>
  <c r="F41" i="14"/>
  <c r="I40" i="14"/>
  <c r="J40" i="14" s="1"/>
  <c r="K40" i="14" s="1"/>
  <c r="E40" i="14" s="1"/>
  <c r="I39" i="14"/>
  <c r="J39" i="14" s="1"/>
  <c r="K39" i="14" s="1"/>
  <c r="E39" i="14" s="1"/>
  <c r="I38" i="14"/>
  <c r="I35" i="14"/>
  <c r="J35" i="14" s="1"/>
  <c r="K35" i="14" s="1"/>
  <c r="E35" i="14" s="1"/>
  <c r="I37" i="14"/>
  <c r="J37" i="14" s="1"/>
  <c r="K37" i="14" s="1"/>
  <c r="E37" i="14" s="1"/>
  <c r="I36" i="14"/>
  <c r="E32" i="14"/>
  <c r="D32" i="14"/>
  <c r="E31" i="14"/>
  <c r="D31" i="14"/>
  <c r="Q30" i="14"/>
  <c r="D30" i="14"/>
  <c r="P26" i="14" s="1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2" i="14"/>
  <c r="F11" i="14"/>
  <c r="I41" i="14" l="1"/>
  <c r="H40" i="14"/>
  <c r="P20" i="14"/>
  <c r="P27" i="14"/>
  <c r="F14" i="14"/>
  <c r="G16" i="14" s="1"/>
  <c r="G15" i="14"/>
  <c r="P19" i="14"/>
  <c r="P21" i="14"/>
  <c r="P28" i="14"/>
  <c r="P11" i="14"/>
  <c r="P23" i="14"/>
  <c r="P25" i="14"/>
  <c r="P15" i="14"/>
  <c r="P12" i="14"/>
  <c r="P17" i="14"/>
  <c r="P24" i="14"/>
  <c r="G14" i="14"/>
  <c r="G13" i="14"/>
  <c r="P13" i="14"/>
  <c r="P14" i="14"/>
  <c r="P16" i="14"/>
  <c r="G19" i="14"/>
  <c r="G21" i="14"/>
  <c r="G28" i="14"/>
  <c r="J36" i="14"/>
  <c r="G17" i="14"/>
  <c r="G27" i="14"/>
  <c r="G29" i="14"/>
  <c r="H39" i="14"/>
  <c r="F30" i="14"/>
  <c r="G23" i="14"/>
  <c r="G25" i="14"/>
  <c r="G24" i="14"/>
  <c r="G11" i="14"/>
  <c r="G18" i="14"/>
  <c r="G26" i="14"/>
  <c r="P18" i="14"/>
  <c r="P22" i="14"/>
  <c r="F32" i="14"/>
  <c r="K36" i="14"/>
  <c r="E36" i="14" s="1"/>
  <c r="J38" i="14"/>
  <c r="K38" i="14" s="1"/>
  <c r="E38" i="14" s="1"/>
  <c r="H38" i="14" s="1"/>
  <c r="G12" i="14"/>
  <c r="F31" i="14"/>
  <c r="G20" i="14"/>
  <c r="G22" i="14"/>
  <c r="C29" i="13"/>
  <c r="C29" i="9"/>
  <c r="E13" i="13"/>
  <c r="E15" i="13"/>
  <c r="E16" i="13"/>
  <c r="E17" i="13"/>
  <c r="E18" i="13"/>
  <c r="E19" i="13"/>
  <c r="E20" i="13"/>
  <c r="E21" i="13"/>
  <c r="E23" i="13"/>
  <c r="E24" i="13"/>
  <c r="E25" i="13"/>
  <c r="E26" i="13"/>
  <c r="E11" i="13"/>
  <c r="E27" i="13" s="1"/>
  <c r="E12" i="13"/>
  <c r="E14" i="13"/>
  <c r="E22" i="13"/>
  <c r="E29" i="13"/>
  <c r="G29" i="13" s="1"/>
  <c r="F13" i="13"/>
  <c r="F15" i="13"/>
  <c r="F16" i="13"/>
  <c r="F17" i="13"/>
  <c r="F18" i="13"/>
  <c r="F19" i="13"/>
  <c r="F20" i="13"/>
  <c r="F21" i="13"/>
  <c r="F23" i="13"/>
  <c r="F24" i="13"/>
  <c r="F25" i="13"/>
  <c r="F26" i="13"/>
  <c r="F11" i="13"/>
  <c r="F12" i="13"/>
  <c r="G15" i="13" s="1"/>
  <c r="F14" i="13"/>
  <c r="F22" i="13"/>
  <c r="F29" i="13"/>
  <c r="G12" i="13"/>
  <c r="G19" i="13"/>
  <c r="G23" i="13"/>
  <c r="F39" i="13"/>
  <c r="E39" i="13"/>
  <c r="H38" i="13"/>
  <c r="I38" i="13"/>
  <c r="J38" i="13"/>
  <c r="D38" i="13"/>
  <c r="G38" i="13"/>
  <c r="H37" i="13"/>
  <c r="D37" i="13"/>
  <c r="H36" i="13"/>
  <c r="D36" i="13"/>
  <c r="H35" i="13"/>
  <c r="I35" i="13"/>
  <c r="J35" i="13"/>
  <c r="D35" i="13"/>
  <c r="H34" i="13"/>
  <c r="I34" i="13"/>
  <c r="J34" i="13"/>
  <c r="D34" i="13"/>
  <c r="H33" i="13"/>
  <c r="I33" i="13"/>
  <c r="J33" i="13"/>
  <c r="D33" i="13"/>
  <c r="H32" i="13"/>
  <c r="D32" i="13"/>
  <c r="D29" i="13"/>
  <c r="B29" i="13"/>
  <c r="D28" i="13"/>
  <c r="C28" i="13"/>
  <c r="B28" i="13"/>
  <c r="Q27" i="13"/>
  <c r="C27" i="13"/>
  <c r="P23" i="13"/>
  <c r="P24" i="13"/>
  <c r="P21" i="13"/>
  <c r="P19" i="13"/>
  <c r="P17" i="13"/>
  <c r="P15" i="13"/>
  <c r="P13" i="13"/>
  <c r="P11" i="13"/>
  <c r="D29" i="12"/>
  <c r="B29" i="12"/>
  <c r="D29" i="9"/>
  <c r="E14" i="7"/>
  <c r="F14" i="7"/>
  <c r="H14" i="7"/>
  <c r="I14" i="7"/>
  <c r="J14" i="7"/>
  <c r="E15" i="7"/>
  <c r="F15" i="7"/>
  <c r="H15" i="7"/>
  <c r="I15" i="7"/>
  <c r="J15" i="7"/>
  <c r="E16" i="7"/>
  <c r="F16" i="7"/>
  <c r="H16" i="7"/>
  <c r="I16" i="7"/>
  <c r="J16" i="7"/>
  <c r="E17" i="7"/>
  <c r="F17" i="7"/>
  <c r="H17" i="7"/>
  <c r="I17" i="7"/>
  <c r="J17" i="7"/>
  <c r="E18" i="7"/>
  <c r="F18" i="7"/>
  <c r="H18" i="7"/>
  <c r="I18" i="7"/>
  <c r="J18" i="7"/>
  <c r="E19" i="7"/>
  <c r="F19" i="7"/>
  <c r="H19" i="7"/>
  <c r="I19" i="7"/>
  <c r="J19" i="7"/>
  <c r="E20" i="7"/>
  <c r="F20" i="7"/>
  <c r="H20" i="7"/>
  <c r="I20" i="7"/>
  <c r="J20" i="7"/>
  <c r="E21" i="7"/>
  <c r="F21" i="7"/>
  <c r="H21" i="7"/>
  <c r="I21" i="7"/>
  <c r="J21" i="7"/>
  <c r="E22" i="7"/>
  <c r="F22" i="7"/>
  <c r="H22" i="7"/>
  <c r="I22" i="7"/>
  <c r="J22" i="7"/>
  <c r="E23" i="7"/>
  <c r="F23" i="7"/>
  <c r="H23" i="7"/>
  <c r="I23" i="7"/>
  <c r="J23" i="7"/>
  <c r="E24" i="7"/>
  <c r="F24" i="7"/>
  <c r="H24" i="7"/>
  <c r="I24" i="7"/>
  <c r="J24" i="7"/>
  <c r="E25" i="7"/>
  <c r="F25" i="7"/>
  <c r="H25" i="7"/>
  <c r="I25" i="7"/>
  <c r="J25" i="7"/>
  <c r="E26" i="7"/>
  <c r="F26" i="7"/>
  <c r="H26" i="7"/>
  <c r="I26" i="7"/>
  <c r="J26" i="7"/>
  <c r="E27" i="7"/>
  <c r="F27" i="7"/>
  <c r="H27" i="7"/>
  <c r="I27" i="7"/>
  <c r="J27" i="7"/>
  <c r="J28" i="7"/>
  <c r="H28" i="7"/>
  <c r="D28" i="7"/>
  <c r="E23" i="9"/>
  <c r="P27" i="9"/>
  <c r="B29" i="9"/>
  <c r="F39" i="12"/>
  <c r="E39" i="12"/>
  <c r="H38" i="12"/>
  <c r="I38" i="12"/>
  <c r="J38" i="12"/>
  <c r="D38" i="12"/>
  <c r="G38" i="12"/>
  <c r="H37" i="12"/>
  <c r="D37" i="12"/>
  <c r="H36" i="12"/>
  <c r="I36" i="12"/>
  <c r="J36" i="12"/>
  <c r="D36" i="12"/>
  <c r="G36" i="12"/>
  <c r="H35" i="12"/>
  <c r="I35" i="12"/>
  <c r="J35" i="12"/>
  <c r="D35" i="12"/>
  <c r="H34" i="12"/>
  <c r="I34" i="12"/>
  <c r="J34" i="12"/>
  <c r="D34" i="12"/>
  <c r="H33" i="12"/>
  <c r="I33" i="12"/>
  <c r="J33" i="12"/>
  <c r="D33" i="12"/>
  <c r="H32" i="12"/>
  <c r="I32" i="12"/>
  <c r="J32" i="12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9" i="12"/>
  <c r="F39" i="9"/>
  <c r="E39" i="9"/>
  <c r="H38" i="9"/>
  <c r="I38" i="9"/>
  <c r="J38" i="9"/>
  <c r="D38" i="9"/>
  <c r="G38" i="9"/>
  <c r="H37" i="9"/>
  <c r="D37" i="9"/>
  <c r="H36" i="9"/>
  <c r="I36" i="9"/>
  <c r="J36" i="9"/>
  <c r="D36" i="9"/>
  <c r="G36" i="9"/>
  <c r="H35" i="9"/>
  <c r="I35" i="9"/>
  <c r="J35" i="9"/>
  <c r="D35" i="9"/>
  <c r="H34" i="9"/>
  <c r="I34" i="9"/>
  <c r="J34" i="9"/>
  <c r="D34" i="9"/>
  <c r="H33" i="9"/>
  <c r="I33" i="9"/>
  <c r="J33" i="9"/>
  <c r="D33" i="9"/>
  <c r="H32" i="9"/>
  <c r="D32" i="9"/>
  <c r="D28" i="9"/>
  <c r="C28" i="9"/>
  <c r="B28" i="9"/>
  <c r="C27" i="9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/>
  <c r="J49" i="7"/>
  <c r="D49" i="7"/>
  <c r="H48" i="7"/>
  <c r="D48" i="7"/>
  <c r="G48" i="7"/>
  <c r="H47" i="7"/>
  <c r="D47" i="7"/>
  <c r="H46" i="7"/>
  <c r="I46" i="7"/>
  <c r="J46" i="7"/>
  <c r="D46" i="7"/>
  <c r="H45" i="7"/>
  <c r="I45" i="7"/>
  <c r="J45" i="7"/>
  <c r="D45" i="7"/>
  <c r="H44" i="7"/>
  <c r="I44" i="7"/>
  <c r="J44" i="7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16" i="7"/>
  <c r="G3" i="7"/>
  <c r="B8" i="7"/>
  <c r="G36" i="13"/>
  <c r="P12" i="13"/>
  <c r="P14" i="13"/>
  <c r="P16" i="13"/>
  <c r="P18" i="13"/>
  <c r="P20" i="13"/>
  <c r="P22" i="13"/>
  <c r="F28" i="13"/>
  <c r="P25" i="13"/>
  <c r="I36" i="13"/>
  <c r="J36" i="13"/>
  <c r="H39" i="13"/>
  <c r="G37" i="13"/>
  <c r="G39" i="13"/>
  <c r="I37" i="13"/>
  <c r="J37" i="13"/>
  <c r="P26" i="13"/>
  <c r="P27" i="13"/>
  <c r="I32" i="13"/>
  <c r="H39" i="12"/>
  <c r="G23" i="7"/>
  <c r="G27" i="7"/>
  <c r="G24" i="7"/>
  <c r="G47" i="7"/>
  <c r="G19" i="7"/>
  <c r="E28" i="7"/>
  <c r="G15" i="7"/>
  <c r="I47" i="7"/>
  <c r="J47" i="7"/>
  <c r="G49" i="7"/>
  <c r="G20" i="7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3" i="9"/>
  <c r="O19" i="9"/>
  <c r="F15" i="12"/>
  <c r="F12" i="12"/>
  <c r="F16" i="12"/>
  <c r="F20" i="12"/>
  <c r="F24" i="12"/>
  <c r="G37" i="12"/>
  <c r="F13" i="12"/>
  <c r="F17" i="12"/>
  <c r="F21" i="12"/>
  <c r="F25" i="12"/>
  <c r="G39" i="12"/>
  <c r="F14" i="12"/>
  <c r="F18" i="12"/>
  <c r="E28" i="12"/>
  <c r="I37" i="12"/>
  <c r="F22" i="12"/>
  <c r="F26" i="12"/>
  <c r="F11" i="12"/>
  <c r="F19" i="12"/>
  <c r="F23" i="12"/>
  <c r="G37" i="9"/>
  <c r="H39" i="9"/>
  <c r="G39" i="9"/>
  <c r="I37" i="9"/>
  <c r="J37" i="9"/>
  <c r="I32" i="9"/>
  <c r="E53" i="7"/>
  <c r="D25" i="7"/>
  <c r="L25" i="7"/>
  <c r="D21" i="7"/>
  <c r="L21" i="7"/>
  <c r="D17" i="7"/>
  <c r="L17" i="7"/>
  <c r="D27" i="7"/>
  <c r="D19" i="7"/>
  <c r="L19" i="7"/>
  <c r="D26" i="7"/>
  <c r="L26" i="7"/>
  <c r="D22" i="7"/>
  <c r="L22" i="7"/>
  <c r="D18" i="7"/>
  <c r="L18" i="7"/>
  <c r="D14" i="7"/>
  <c r="D23" i="7"/>
  <c r="L23" i="7"/>
  <c r="D15" i="7"/>
  <c r="L15" i="7"/>
  <c r="D24" i="7"/>
  <c r="L24" i="7"/>
  <c r="D20" i="7"/>
  <c r="L20" i="7"/>
  <c r="D16" i="7"/>
  <c r="G50" i="7"/>
  <c r="F28" i="7"/>
  <c r="F53" i="7"/>
  <c r="G14" i="7"/>
  <c r="I48" i="7"/>
  <c r="J48" i="7"/>
  <c r="G17" i="7"/>
  <c r="G21" i="7"/>
  <c r="G25" i="7"/>
  <c r="G18" i="7"/>
  <c r="G22" i="7"/>
  <c r="G26" i="7"/>
  <c r="I43" i="7"/>
  <c r="E18" i="6"/>
  <c r="H18" i="6"/>
  <c r="F18" i="6"/>
  <c r="I39" i="13"/>
  <c r="J32" i="13"/>
  <c r="J39" i="13"/>
  <c r="H53" i="7"/>
  <c r="L14" i="7"/>
  <c r="L27" i="7"/>
  <c r="L16" i="7"/>
  <c r="O26" i="9"/>
  <c r="O27" i="9"/>
  <c r="J37" i="12"/>
  <c r="J39" i="12"/>
  <c r="I39" i="12"/>
  <c r="F28" i="12"/>
  <c r="F27" i="12"/>
  <c r="G22" i="12"/>
  <c r="J32" i="9"/>
  <c r="J39" i="9"/>
  <c r="I39" i="9"/>
  <c r="G28" i="7"/>
  <c r="G53" i="7"/>
  <c r="I50" i="7"/>
  <c r="J43" i="7"/>
  <c r="J50" i="7"/>
  <c r="C28" i="7"/>
  <c r="G18" i="6"/>
  <c r="I18" i="6"/>
  <c r="J18" i="6"/>
  <c r="L28" i="7"/>
  <c r="I22" i="12"/>
  <c r="H22" i="12"/>
  <c r="G26" i="12"/>
  <c r="G14" i="12"/>
  <c r="G18" i="12"/>
  <c r="G11" i="12"/>
  <c r="G16" i="12"/>
  <c r="G13" i="12"/>
  <c r="G25" i="12"/>
  <c r="G20" i="12"/>
  <c r="G15" i="12"/>
  <c r="G12" i="12"/>
  <c r="G24" i="12"/>
  <c r="G17" i="12"/>
  <c r="G21" i="12"/>
  <c r="G23" i="12"/>
  <c r="G19" i="12"/>
  <c r="I28" i="7"/>
  <c r="I53" i="7"/>
  <c r="F50" i="6"/>
  <c r="E50" i="6"/>
  <c r="H49" i="6"/>
  <c r="I49" i="6"/>
  <c r="J49" i="6"/>
  <c r="D49" i="6"/>
  <c r="H48" i="6"/>
  <c r="D48" i="6"/>
  <c r="H47" i="6"/>
  <c r="D47" i="6"/>
  <c r="H46" i="6"/>
  <c r="I46" i="6"/>
  <c r="J46" i="6"/>
  <c r="D46" i="6"/>
  <c r="H45" i="6"/>
  <c r="I45" i="6"/>
  <c r="J45" i="6"/>
  <c r="D45" i="6"/>
  <c r="H44" i="6"/>
  <c r="I44" i="6"/>
  <c r="J44" i="6"/>
  <c r="D44" i="6"/>
  <c r="H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/>
  <c r="F26" i="6"/>
  <c r="E26" i="6"/>
  <c r="H26" i="6"/>
  <c r="F25" i="6"/>
  <c r="E25" i="6"/>
  <c r="H25" i="6"/>
  <c r="F24" i="6"/>
  <c r="E24" i="6"/>
  <c r="H24" i="6"/>
  <c r="F23" i="6"/>
  <c r="E23" i="6"/>
  <c r="H23" i="6"/>
  <c r="F22" i="6"/>
  <c r="E22" i="6"/>
  <c r="H22" i="6"/>
  <c r="F21" i="6"/>
  <c r="E21" i="6"/>
  <c r="H21" i="6"/>
  <c r="F20" i="6"/>
  <c r="E20" i="6"/>
  <c r="H20" i="6"/>
  <c r="F19" i="6"/>
  <c r="E19" i="6"/>
  <c r="H19" i="6"/>
  <c r="F17" i="6"/>
  <c r="E17" i="6"/>
  <c r="F16" i="6"/>
  <c r="E16" i="6"/>
  <c r="H16" i="6"/>
  <c r="F15" i="6"/>
  <c r="E15" i="6"/>
  <c r="H15" i="6"/>
  <c r="F14" i="6"/>
  <c r="E14" i="6"/>
  <c r="G4" i="6"/>
  <c r="B8" i="6"/>
  <c r="D18" i="6"/>
  <c r="L18" i="6"/>
  <c r="H50" i="6"/>
  <c r="G47" i="6"/>
  <c r="G17" i="6"/>
  <c r="I23" i="12"/>
  <c r="H23" i="12"/>
  <c r="I12" i="12"/>
  <c r="H12" i="12"/>
  <c r="H13" i="12"/>
  <c r="I13" i="12"/>
  <c r="I14" i="12"/>
  <c r="H14" i="12"/>
  <c r="H21" i="12"/>
  <c r="I21" i="12"/>
  <c r="H15" i="12"/>
  <c r="I15" i="12"/>
  <c r="I16" i="12"/>
  <c r="H16" i="12"/>
  <c r="I26" i="12"/>
  <c r="H26" i="12"/>
  <c r="H17" i="12"/>
  <c r="I17" i="12"/>
  <c r="I20" i="12"/>
  <c r="H20" i="12"/>
  <c r="G28" i="12"/>
  <c r="H11" i="12"/>
  <c r="I11" i="12"/>
  <c r="G27" i="12"/>
  <c r="J22" i="12"/>
  <c r="K22" i="12"/>
  <c r="N22" i="12"/>
  <c r="H19" i="12"/>
  <c r="I19" i="12"/>
  <c r="I24" i="12"/>
  <c r="H24" i="12"/>
  <c r="H25" i="12"/>
  <c r="I25" i="12"/>
  <c r="I18" i="12"/>
  <c r="H18" i="12"/>
  <c r="E28" i="6"/>
  <c r="G16" i="6"/>
  <c r="G49" i="6"/>
  <c r="I24" i="6"/>
  <c r="J24" i="6"/>
  <c r="I20" i="6"/>
  <c r="J20" i="6"/>
  <c r="F28" i="6"/>
  <c r="F53" i="6"/>
  <c r="I19" i="6"/>
  <c r="J19" i="6"/>
  <c r="G20" i="6"/>
  <c r="G23" i="6"/>
  <c r="G24" i="6"/>
  <c r="G27" i="6"/>
  <c r="I16" i="6"/>
  <c r="J16" i="6"/>
  <c r="I22" i="6"/>
  <c r="J22" i="6"/>
  <c r="I26" i="6"/>
  <c r="J26" i="6"/>
  <c r="I43" i="6"/>
  <c r="J43" i="6"/>
  <c r="I47" i="6"/>
  <c r="J47" i="6"/>
  <c r="I15" i="6"/>
  <c r="J15" i="6"/>
  <c r="H17" i="6"/>
  <c r="I21" i="6"/>
  <c r="J21" i="6"/>
  <c r="I25" i="6"/>
  <c r="I23" i="6"/>
  <c r="J23" i="6"/>
  <c r="I27" i="6"/>
  <c r="J27" i="6"/>
  <c r="G48" i="6"/>
  <c r="J53" i="7"/>
  <c r="E53" i="6"/>
  <c r="D25" i="6"/>
  <c r="L25" i="6"/>
  <c r="D21" i="6"/>
  <c r="L21" i="6"/>
  <c r="D26" i="6"/>
  <c r="L26" i="6"/>
  <c r="D22" i="6"/>
  <c r="L22" i="6"/>
  <c r="D14" i="6"/>
  <c r="D15" i="6"/>
  <c r="L15" i="6"/>
  <c r="D27" i="6"/>
  <c r="L27" i="6"/>
  <c r="D23" i="6"/>
  <c r="L23" i="6"/>
  <c r="D19" i="6"/>
  <c r="L19" i="6"/>
  <c r="D24" i="6"/>
  <c r="L24" i="6"/>
  <c r="D20" i="6"/>
  <c r="L20" i="6"/>
  <c r="D16" i="6"/>
  <c r="L16" i="6"/>
  <c r="D17" i="6"/>
  <c r="G14" i="6"/>
  <c r="G22" i="6"/>
  <c r="J25" i="6"/>
  <c r="G26" i="6"/>
  <c r="I48" i="6"/>
  <c r="J48" i="6"/>
  <c r="G15" i="6"/>
  <c r="G19" i="6"/>
  <c r="H14" i="6"/>
  <c r="G21" i="6"/>
  <c r="G25" i="6"/>
  <c r="L22" i="12"/>
  <c r="K20" i="12"/>
  <c r="N20" i="12"/>
  <c r="J20" i="12"/>
  <c r="J26" i="12"/>
  <c r="K26" i="12"/>
  <c r="N26" i="12"/>
  <c r="K14" i="12"/>
  <c r="N14" i="12"/>
  <c r="J14" i="12"/>
  <c r="K12" i="12"/>
  <c r="N12" i="12"/>
  <c r="J12" i="12"/>
  <c r="K25" i="12"/>
  <c r="N25" i="12"/>
  <c r="J25" i="12"/>
  <c r="J19" i="12"/>
  <c r="K19" i="12"/>
  <c r="N19" i="12"/>
  <c r="I27" i="12"/>
  <c r="F42" i="12"/>
  <c r="L26" i="12"/>
  <c r="J15" i="12"/>
  <c r="K15" i="12"/>
  <c r="N15" i="12"/>
  <c r="K18" i="12"/>
  <c r="N18" i="12"/>
  <c r="J18" i="12"/>
  <c r="K24" i="12"/>
  <c r="N24" i="12"/>
  <c r="J24" i="12"/>
  <c r="J11" i="12"/>
  <c r="H27" i="12"/>
  <c r="E42" i="12"/>
  <c r="K11" i="12"/>
  <c r="N11" i="12"/>
  <c r="K16" i="12"/>
  <c r="N16" i="12"/>
  <c r="J16" i="12"/>
  <c r="J23" i="12"/>
  <c r="K23" i="12"/>
  <c r="N23" i="12"/>
  <c r="M22" i="12"/>
  <c r="J17" i="12"/>
  <c r="K17" i="12"/>
  <c r="N17" i="12"/>
  <c r="K21" i="12"/>
  <c r="N21" i="12"/>
  <c r="J21" i="12"/>
  <c r="K13" i="12"/>
  <c r="N13" i="12"/>
  <c r="J13" i="12"/>
  <c r="L14" i="6"/>
  <c r="G50" i="6"/>
  <c r="J50" i="6"/>
  <c r="I17" i="6"/>
  <c r="J17" i="6"/>
  <c r="L17" i="6"/>
  <c r="G28" i="6"/>
  <c r="G53" i="6"/>
  <c r="H28" i="6"/>
  <c r="I14" i="6"/>
  <c r="I50" i="6"/>
  <c r="N27" i="12"/>
  <c r="L28" i="6"/>
  <c r="L20" i="12"/>
  <c r="M20" i="12"/>
  <c r="L23" i="12"/>
  <c r="L24" i="12"/>
  <c r="M24" i="12"/>
  <c r="L12" i="12"/>
  <c r="M17" i="12"/>
  <c r="M23" i="12"/>
  <c r="M15" i="12"/>
  <c r="M12" i="12"/>
  <c r="M11" i="12"/>
  <c r="J27" i="12"/>
  <c r="G42" i="12"/>
  <c r="M13" i="12"/>
  <c r="L16" i="12"/>
  <c r="L13" i="12"/>
  <c r="L17" i="12"/>
  <c r="L15" i="12"/>
  <c r="L18" i="12"/>
  <c r="L21" i="12"/>
  <c r="K27" i="12"/>
  <c r="H42" i="12"/>
  <c r="L14" i="12"/>
  <c r="M19" i="12"/>
  <c r="L19" i="12"/>
  <c r="M21" i="12"/>
  <c r="M16" i="12"/>
  <c r="M18" i="12"/>
  <c r="L11" i="12"/>
  <c r="M25" i="12"/>
  <c r="M14" i="12"/>
  <c r="M26" i="12"/>
  <c r="L25" i="12"/>
  <c r="I28" i="6"/>
  <c r="I53" i="6"/>
  <c r="J14" i="6"/>
  <c r="J28" i="6"/>
  <c r="H53" i="6"/>
  <c r="C28" i="6"/>
  <c r="L27" i="12"/>
  <c r="I42" i="12"/>
  <c r="M27" i="12"/>
  <c r="J42" i="12"/>
  <c r="J53" i="6"/>
  <c r="D28" i="6"/>
  <c r="D22" i="1"/>
  <c r="D23" i="1"/>
  <c r="F22" i="1"/>
  <c r="F23" i="1"/>
  <c r="B22" i="1"/>
  <c r="B23" i="1"/>
  <c r="H41" i="14" l="1"/>
  <c r="P29" i="14"/>
  <c r="P30" i="14" s="1"/>
  <c r="K41" i="14"/>
  <c r="G31" i="14"/>
  <c r="G30" i="14"/>
  <c r="H15" i="14" s="1"/>
  <c r="J41" i="14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J15" i="14" l="1"/>
  <c r="I15" i="14"/>
  <c r="H20" i="14"/>
  <c r="I20" i="14" s="1"/>
  <c r="H16" i="14"/>
  <c r="H14" i="14"/>
  <c r="H13" i="14"/>
  <c r="J20" i="14"/>
  <c r="H12" i="14"/>
  <c r="H24" i="14"/>
  <c r="H19" i="14"/>
  <c r="H23" i="14"/>
  <c r="H21" i="14"/>
  <c r="H25" i="14"/>
  <c r="H28" i="14"/>
  <c r="H27" i="14"/>
  <c r="H17" i="14"/>
  <c r="H29" i="14"/>
  <c r="H18" i="14"/>
  <c r="H11" i="14"/>
  <c r="H22" i="14"/>
  <c r="H26" i="14"/>
  <c r="F28" i="9"/>
  <c r="F27" i="9"/>
  <c r="G11" i="9" s="1"/>
  <c r="I11" i="9" s="1"/>
  <c r="G28" i="13"/>
  <c r="G27" i="13"/>
  <c r="H20" i="13" s="1"/>
  <c r="L15" i="14" l="1"/>
  <c r="O15" i="14" s="1"/>
  <c r="K15" i="14"/>
  <c r="I14" i="14"/>
  <c r="J14" i="14"/>
  <c r="I16" i="14"/>
  <c r="J16" i="14"/>
  <c r="J13" i="14"/>
  <c r="I13" i="14"/>
  <c r="I22" i="14"/>
  <c r="J22" i="14"/>
  <c r="I21" i="14"/>
  <c r="J21" i="14"/>
  <c r="H30" i="14"/>
  <c r="I11" i="14"/>
  <c r="J11" i="14"/>
  <c r="H31" i="14"/>
  <c r="J23" i="14"/>
  <c r="I23" i="14"/>
  <c r="J17" i="14"/>
  <c r="I17" i="14"/>
  <c r="I27" i="14"/>
  <c r="J27" i="14"/>
  <c r="J12" i="14"/>
  <c r="I12" i="14"/>
  <c r="J18" i="14"/>
  <c r="I18" i="14"/>
  <c r="I28" i="14"/>
  <c r="J28" i="14"/>
  <c r="I19" i="14"/>
  <c r="J19" i="14"/>
  <c r="I26" i="14"/>
  <c r="J26" i="14"/>
  <c r="J29" i="14"/>
  <c r="I29" i="14"/>
  <c r="J25" i="14"/>
  <c r="I25" i="14"/>
  <c r="J24" i="14"/>
  <c r="I24" i="14"/>
  <c r="L20" i="14"/>
  <c r="O20" i="14" s="1"/>
  <c r="K20" i="14"/>
  <c r="G14" i="9"/>
  <c r="G16" i="9"/>
  <c r="G18" i="9"/>
  <c r="G23" i="9"/>
  <c r="H23" i="9" s="1"/>
  <c r="G13" i="9"/>
  <c r="G22" i="9"/>
  <c r="G19" i="9"/>
  <c r="G12" i="9"/>
  <c r="H12" i="9" s="1"/>
  <c r="H11" i="9"/>
  <c r="G15" i="9"/>
  <c r="I15" i="9" s="1"/>
  <c r="G21" i="9"/>
  <c r="G24" i="9"/>
  <c r="I24" i="9" s="1"/>
  <c r="G17" i="9"/>
  <c r="I17" i="9" s="1"/>
  <c r="G26" i="9"/>
  <c r="H26" i="9" s="1"/>
  <c r="G25" i="9"/>
  <c r="G20" i="9"/>
  <c r="K11" i="9"/>
  <c r="L11" i="9" s="1"/>
  <c r="J11" i="9"/>
  <c r="I13" i="9"/>
  <c r="H13" i="9"/>
  <c r="I16" i="9"/>
  <c r="H16" i="9"/>
  <c r="H17" i="9"/>
  <c r="I12" i="9"/>
  <c r="I21" i="9"/>
  <c r="H21" i="9"/>
  <c r="I19" i="9"/>
  <c r="H19" i="9"/>
  <c r="I14" i="9"/>
  <c r="H14" i="9"/>
  <c r="H15" i="9"/>
  <c r="I26" i="9"/>
  <c r="I25" i="9"/>
  <c r="H25" i="9"/>
  <c r="I18" i="9"/>
  <c r="H18" i="9"/>
  <c r="H22" i="9"/>
  <c r="I22" i="9"/>
  <c r="I20" i="9"/>
  <c r="H16" i="13"/>
  <c r="H22" i="13"/>
  <c r="H25" i="13"/>
  <c r="J25" i="13" s="1"/>
  <c r="I20" i="13"/>
  <c r="J20" i="13"/>
  <c r="J22" i="13"/>
  <c r="I22" i="13"/>
  <c r="I25" i="13"/>
  <c r="H23" i="13"/>
  <c r="H19" i="13"/>
  <c r="H15" i="13"/>
  <c r="H11" i="13"/>
  <c r="H12" i="13"/>
  <c r="I16" i="13"/>
  <c r="J16" i="13"/>
  <c r="H14" i="13"/>
  <c r="H21" i="13"/>
  <c r="H26" i="13"/>
  <c r="H24" i="13"/>
  <c r="H13" i="13"/>
  <c r="H17" i="13"/>
  <c r="H18" i="13"/>
  <c r="M15" i="14" l="1"/>
  <c r="N15" i="14"/>
  <c r="L16" i="14"/>
  <c r="O16" i="14" s="1"/>
  <c r="K16" i="14"/>
  <c r="K13" i="14"/>
  <c r="L13" i="14"/>
  <c r="O13" i="14" s="1"/>
  <c r="K14" i="14"/>
  <c r="L14" i="14"/>
  <c r="O14" i="14" s="1"/>
  <c r="N20" i="14"/>
  <c r="M20" i="14"/>
  <c r="L27" i="14"/>
  <c r="O27" i="14" s="1"/>
  <c r="K27" i="14"/>
  <c r="L25" i="14"/>
  <c r="O25" i="14" s="1"/>
  <c r="K25" i="14"/>
  <c r="J30" i="14"/>
  <c r="G44" i="14" s="1"/>
  <c r="K26" i="14"/>
  <c r="L26" i="14"/>
  <c r="O26" i="14" s="1"/>
  <c r="L28" i="14"/>
  <c r="O28" i="14" s="1"/>
  <c r="K28" i="14"/>
  <c r="L23" i="14"/>
  <c r="O23" i="14" s="1"/>
  <c r="K23" i="14"/>
  <c r="K11" i="14"/>
  <c r="I30" i="14"/>
  <c r="F44" i="14" s="1"/>
  <c r="L11" i="14"/>
  <c r="L19" i="14"/>
  <c r="O19" i="14" s="1"/>
  <c r="K19" i="14"/>
  <c r="L12" i="14"/>
  <c r="O12" i="14" s="1"/>
  <c r="K12" i="14"/>
  <c r="L21" i="14"/>
  <c r="O21" i="14" s="1"/>
  <c r="K21" i="14"/>
  <c r="L24" i="14"/>
  <c r="O24" i="14" s="1"/>
  <c r="K24" i="14"/>
  <c r="L29" i="14"/>
  <c r="O29" i="14" s="1"/>
  <c r="K29" i="14"/>
  <c r="K18" i="14"/>
  <c r="L18" i="14"/>
  <c r="O18" i="14" s="1"/>
  <c r="K17" i="14"/>
  <c r="L17" i="14"/>
  <c r="O17" i="14" s="1"/>
  <c r="L22" i="14"/>
  <c r="O22" i="14" s="1"/>
  <c r="K22" i="14"/>
  <c r="H24" i="9"/>
  <c r="I23" i="9"/>
  <c r="G27" i="9"/>
  <c r="G28" i="9"/>
  <c r="H20" i="9"/>
  <c r="K20" i="9" s="1"/>
  <c r="N20" i="9" s="1"/>
  <c r="K26" i="9"/>
  <c r="N26" i="9" s="1"/>
  <c r="J26" i="9"/>
  <c r="J20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H27" i="9"/>
  <c r="E42" i="9" s="1"/>
  <c r="I27" i="9"/>
  <c r="F42" i="9" s="1"/>
  <c r="M11" i="9"/>
  <c r="K22" i="9"/>
  <c r="N22" i="9" s="1"/>
  <c r="J22" i="9"/>
  <c r="J23" i="9"/>
  <c r="K23" i="9"/>
  <c r="N23" i="9" s="1"/>
  <c r="K24" i="9"/>
  <c r="N24" i="9" s="1"/>
  <c r="J24" i="9"/>
  <c r="J18" i="9"/>
  <c r="K18" i="9"/>
  <c r="N18" i="9" s="1"/>
  <c r="L26" i="9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M16" i="13"/>
  <c r="I15" i="13"/>
  <c r="J15" i="13"/>
  <c r="K25" i="13"/>
  <c r="L25" i="13"/>
  <c r="O25" i="13" s="1"/>
  <c r="K20" i="13"/>
  <c r="L20" i="13"/>
  <c r="O20" i="13" s="1"/>
  <c r="M23" i="14" l="1"/>
  <c r="M27" i="14"/>
  <c r="N23" i="14"/>
  <c r="N13" i="14"/>
  <c r="N14" i="14"/>
  <c r="N16" i="14"/>
  <c r="M13" i="14"/>
  <c r="M14" i="14"/>
  <c r="M16" i="14"/>
  <c r="N27" i="14"/>
  <c r="N24" i="14"/>
  <c r="N12" i="14"/>
  <c r="M25" i="14"/>
  <c r="N25" i="14"/>
  <c r="N18" i="14"/>
  <c r="N29" i="14"/>
  <c r="N21" i="14"/>
  <c r="N28" i="14"/>
  <c r="N22" i="14"/>
  <c r="N17" i="14"/>
  <c r="M19" i="14"/>
  <c r="M24" i="14"/>
  <c r="N11" i="14"/>
  <c r="K30" i="14"/>
  <c r="H44" i="14" s="1"/>
  <c r="M12" i="14"/>
  <c r="N26" i="14"/>
  <c r="M26" i="14"/>
  <c r="M22" i="14"/>
  <c r="M21" i="14"/>
  <c r="M18" i="14"/>
  <c r="N19" i="14"/>
  <c r="O11" i="14"/>
  <c r="O30" i="14" s="1"/>
  <c r="L30" i="14"/>
  <c r="I44" i="14" s="1"/>
  <c r="M11" i="14"/>
  <c r="M28" i="14"/>
  <c r="M17" i="14"/>
  <c r="M29" i="14"/>
  <c r="M22" i="9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N21" i="13" s="1"/>
  <c r="L21" i="13"/>
  <c r="O21" i="13" s="1"/>
  <c r="K19" i="13"/>
  <c r="N19" i="13" s="1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M26" i="13"/>
  <c r="M30" i="14" l="1"/>
  <c r="J44" i="14" s="1"/>
  <c r="N30" i="14"/>
  <c r="K44" i="14" s="1"/>
  <c r="M27" i="9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M27" i="13" l="1"/>
  <c r="I42" i="13" s="1"/>
  <c r="N27" i="13"/>
  <c r="J4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23C5A415-F93D-472A-91F4-FE17AC27BE1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36C5867B-BD5E-4712-BDCA-96D9816DAF0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 xr:uid="{77FA85E3-0C98-4E3C-A5DD-6A00F07BD26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 xr:uid="{9853BF64-B65C-4712-9684-71D4A1FBCB6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37A02A32-4E28-4A83-B765-121D16B1C7E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  <author>tc={A20CEBDA-1B0F-274D-A67A-25AEE7FA0FF4}</author>
  </authors>
  <commentList>
    <comment ref="C10" authorId="0" shapeId="0" xr:uid="{06D76D69-D55C-42BF-BCBC-5229DB94E9B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B8181286-C9BF-44B2-B16B-65320280C6B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 xr:uid="{A20CEBDA-1B0F-274D-A67A-25AEE7FA0FF4}">
      <text>
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</text>
    </comment>
    <comment ref="N13" authorId="0" shapeId="0" xr:uid="{CB42458A-4E92-4779-9CBF-2F3E31A43F0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432832AB-4EBC-4060-8C32-81E83529E51A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281B02BE-341E-47DC-83AA-737BBEEE4B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 xr:uid="{024E28ED-ABF4-4A2C-94BC-03712A87974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9EB055DB-9834-416F-9101-AB267E24A28F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C52678D9-6B55-4164-908C-4460277A018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AFB5225B-6238-432B-AEC1-7446290410E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09FD1098-5A7F-4DE6-BCCC-9967ED86C6A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 xr:uid="{D5D36F3C-255B-45A7-A40C-F42895A9387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D10" authorId="0" shapeId="0" xr:uid="{73EBD916-1490-45C7-A400-691A64F00B6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 xr:uid="{9F5CF1D7-224E-410A-8CDE-C83978B7DC3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B13" authorId="0" shapeId="0" xr:uid="{6A8E318D-B1B9-486B-A272-7F3552C2A0F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
Normal teknisk livslängd är 25 år… räknar man.</t>
        </r>
      </text>
    </comment>
    <comment ref="B14" authorId="0" shapeId="0" xr:uid="{E76C9E42-156B-4C8E-BF3C-94D7696F3AE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Flera har sprungit läck så de är iaf säkert gamla och ingen teknisk livslängd kvar.</t>
        </r>
      </text>
    </comment>
    <comment ref="C14" authorId="0" shapeId="0" xr:uid="{1B2856E8-1490-4F66-9500-284018664EB2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Många element är sedan det byggdes enligt hantverkare, men ofta är det bytt i kök, till nya. Oklart när dock, men garageterat för 1992 eller 1992. Så genomsnittet av 1937 och 1992 tas som basår.
(Och elemenetena _är_ slut idag, de skall bytas av en anledning. :))</t>
        </r>
      </text>
    </comment>
    <comment ref="B15" authorId="0" shapeId="0" xr:uid="{B060ED7D-9BE5-4AF2-B652-27DC2E8F33D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Troligen. Behöver bytas, funkar dåligt etc så ingen teknisk livslängd kvar.</t>
        </r>
      </text>
    </comment>
    <comment ref="B16" authorId="0" shapeId="0" xr:uid="{249FF6ED-2840-41E9-9886-7681F657B19A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ej bytas och har ändå teknisk livslängd kvar.</t>
        </r>
      </text>
    </comment>
    <comment ref="D20" authorId="0" shapeId="0" xr:uid="{2930687A-C891-495C-8ACC-CEBC853B828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21" authorId="0" shapeId="0" xr:uid="{983F421D-BF83-49A7-97B1-6C69170DCBB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3" authorId="0" shapeId="0" xr:uid="{01C843FE-8106-41F6-8A47-9B7ED1EE1E1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5" authorId="0" shapeId="0" xr:uid="{E9794102-CF3F-4524-A8F5-3FC1EA1F956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6" authorId="0" shapeId="0" xr:uid="{4234BBE0-DC3C-4CF8-9651-351567DEFE3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6" authorId="0" shapeId="0" xr:uid="{AF653547-DC79-4654-A57D-6D08FD565BD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7" authorId="0" shapeId="0" xr:uid="{CF98B38B-A562-4CB7-BEE3-F7A6940B8E01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7" authorId="0" shapeId="0" xr:uid="{7F68BDD9-1EAA-495D-B3C5-B0E29E1DE626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Rickard Uddenberg</author>
  </authors>
  <commentList>
    <comment ref="C10" authorId="0" shapeId="0" xr:uid="{B60EADFC-D9DA-483B-A7EE-73BE7EC552E5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 xr:uid="{19885979-1E46-42CA-829B-12482B9B93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 xr:uid="{089B70A0-5B47-4EA1-899E-4830AA57F1CB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 xr:uid="{E4E7FCCB-2E77-402D-8F2B-582B6A9F5A2E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 xr:uid="{773781C1-1486-49C8-8A7A-0ED5EA59D13C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 xr:uid="{D3A082AF-EE19-4AFD-8E4B-B6FE6F97B084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 xr:uid="{C0E20CE7-342F-4479-B79E-71200B85C743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 xr:uid="{770A9F3E-7BF2-4EE7-8EA5-B3A5DED58AA0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 xr:uid="{8DFCE68C-79B2-4059-B506-AB1CD45703B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 xr:uid="{1D4B25C5-624A-4ABE-ACF2-16CBB1D9709D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 xr:uid="{05BC9513-9E37-47FD-8CDA-176EB5B09D39}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<sst xmlns="http://schemas.openxmlformats.org/spreadsheetml/2006/main" count="486" uniqueCount="136">
  <si>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</si>
  <si>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</si>
  <si>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</si>
  <si>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</si>
  <si>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</si>
  <si>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</si>
  <si>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</si>
  <si>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</si>
  <si>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</si>
  <si>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</si>
  <si>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</si>
  <si>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</si>
  <si>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</si>
  <si>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</si>
  <si>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</si>
  <si>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</si>
  <si>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</si>
  <si>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</si>
  <si>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</si>
  <si>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</si>
  <si>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</si>
  <si>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</si>
  <si>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</si>
  <si>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</si>
  <si>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</si>
  <si>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</si>
  <si>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</si>
  <si>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</si>
  <si>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</si>
  <si>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</si>
  <si>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</si>
  <si>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</si>
  <si>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</si>
  <si>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</si>
  <si>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</si>
  <si>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</si>
  <si>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</si>
  <si>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</si>
  <si>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</si>
  <si>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</si>
  <si>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</si>
  <si>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</si>
  <si>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</si>
  <si>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</si>
  <si>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</si>
  <si>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</si>
  <si>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</si>
  <si>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</si>
  <si>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</si>
  <si>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</si>
  <si>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</si>
  <si>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</si>
  <si>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</si>
  <si>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</si>
  <si>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</si>
  <si>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</si>
  <si>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</si>
  <si>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</si>
  <si>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</si>
  <si>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</si>
  <si>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</si>
  <si>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</si>
  <si>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</si>
  <si>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</si>
  <si>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</si>
  <si>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</si>
  <si>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</si>
  <si>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</si>
  <si>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</si>
  <si>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</si>
  <si>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</si>
  <si>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</si>
  <si>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</si>
  <si>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</si>
  <si>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</si>
  <si>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</si>
  <si>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</si>
  <si>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</si>
  <si>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</si>
  <si>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</si>
  <si>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</si>
  <si>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</si>
  <si>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</si>
  <si>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</si>
  <si>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</si>
  <si>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</si>
  <si>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</si>
  <si>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</si>
  <si>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</si>
  <si>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</si>
  <si>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</si>
  <si>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</si>
  <si>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</si>
  <si>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</si>
  <si>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</si>
  <si>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</si>
  <si>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</si>
  <si>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</si>
  <si>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</si>
  <si>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</si>
  <si>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</si>
  <si>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</si>
  <si>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</si>
  <si>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</si>
  <si>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</si>
  <si>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</si>
  <si>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</si>
  <si>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</si>
  <si>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</si>
  <si>
    <t>Värmesystem, element</t>
  </si>
  <si>
    <t>Värmesystem, termost. &amp; ventil.</t>
  </si>
  <si>
    <t>Värmesystem, UC, oljebrännare</t>
  </si>
  <si>
    <t>Värmesystem, stammar</t>
  </si>
  <si>
    <t>1.</t>
  </si>
  <si>
    <t>2.</t>
  </si>
  <si>
    <t>3a</t>
  </si>
  <si>
    <t>3b</t>
  </si>
  <si>
    <t>3c</t>
  </si>
  <si>
    <t>3d</t>
  </si>
  <si>
    <t>4a</t>
  </si>
  <si>
    <t>4b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</si>
  <si>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</si>
  <si>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</si>
  <si>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</si>
  <si>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</si>
  <si>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</si>
  <si>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</si>
  <si>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</si>
  <si>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</si>
  <si>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</si>
  <si>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Hissar</t>
  </si>
  <si>
    <t>14.</t>
  </si>
  <si>
    <t>15.</t>
  </si>
  <si>
    <t>Fördel. SABO "ny" - justerad</t>
  </si>
  <si>
    <t>Markanläggning??</t>
  </si>
  <si>
    <t>Var denna kommer ifrån vet jag inte; men den fanns inte med 2017. Så den har jag helt enkelt tagit bort!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</si>
</sst>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0.0"/>
    <numFmt numFmtId="172" formatCode="#,##0,&quot; tkr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68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Fon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2" fontId="0" fillId="3" borderId="0" xfId="1" applyNumberFormat="1" applyFont="1" applyFill="1"/>
    <xf numFmtId="172" fontId="0" fillId="4" borderId="0" xfId="1" applyNumberFormat="1" applyFont="1" applyFill="1"/>
    <xf numFmtId="172" fontId="0" fillId="5" borderId="0" xfId="0" applyNumberFormat="1" applyFill="1"/>
    <xf numFmtId="172" fontId="0" fillId="6" borderId="0" xfId="0" applyNumberFormat="1" applyFill="1"/>
    <xf numFmtId="172" fontId="0" fillId="7" borderId="0" xfId="0" applyNumberFormat="1" applyFill="1" applyBorder="1"/>
    <xf numFmtId="172" fontId="0" fillId="8" borderId="0" xfId="1" applyNumberFormat="1" applyFont="1" applyFill="1" applyBorder="1"/>
    <xf numFmtId="172" fontId="0" fillId="3" borderId="4" xfId="1" applyNumberFormat="1" applyFont="1" applyFill="1" applyBorder="1"/>
    <xf numFmtId="172" fontId="0" fillId="4" borderId="4" xfId="1" applyNumberFormat="1" applyFont="1" applyFill="1" applyBorder="1"/>
    <xf numFmtId="172" fontId="0" fillId="5" borderId="4" xfId="0" applyNumberFormat="1" applyFill="1" applyBorder="1"/>
    <xf numFmtId="172" fontId="0" fillId="7" borderId="4" xfId="0" applyNumberFormat="1" applyFill="1" applyBorder="1"/>
    <xf numFmtId="172" fontId="0" fillId="5" borderId="0" xfId="1" applyNumberFormat="1" applyFont="1" applyFill="1"/>
    <xf numFmtId="172" fontId="0" fillId="7" borderId="0" xfId="1" applyNumberFormat="1" applyFont="1" applyFill="1" applyBorder="1"/>
    <xf numFmtId="172" fontId="0" fillId="8" borderId="5" xfId="0" applyNumberFormat="1" applyFill="1" applyBorder="1"/>
    <xf numFmtId="172" fontId="5" fillId="3" borderId="0" xfId="1" applyNumberFormat="1" applyFont="1" applyFill="1" applyAlignment="1">
      <alignment horizontal="right"/>
    </xf>
    <xf numFmtId="172" fontId="5" fillId="4" borderId="0" xfId="1" applyNumberFormat="1" applyFont="1" applyFill="1" applyAlignment="1">
      <alignment horizontal="right"/>
    </xf>
    <xf numFmtId="172" fontId="5" fillId="5" borderId="0" xfId="0" applyNumberFormat="1" applyFont="1" applyFill="1" applyAlignment="1">
      <alignment horizontal="right"/>
    </xf>
    <xf numFmtId="172" fontId="5" fillId="6" borderId="0" xfId="0" applyNumberFormat="1" applyFont="1" applyFill="1" applyAlignment="1">
      <alignment horizontal="right"/>
    </xf>
    <xf numFmtId="172" fontId="5" fillId="7" borderId="0" xfId="0" applyNumberFormat="1" applyFont="1" applyFill="1" applyBorder="1" applyAlignment="1">
      <alignment horizontal="right"/>
    </xf>
    <xf numFmtId="172" fontId="0" fillId="8" borderId="0" xfId="1" applyNumberFormat="1" applyFont="1" applyFill="1" applyBorder="1" applyAlignment="1">
      <alignment horizontal="right" wrapText="1"/>
    </xf>
    <xf numFmtId="172" fontId="0" fillId="3" borderId="5" xfId="1" applyNumberFormat="1" applyFont="1" applyFill="1" applyBorder="1" applyAlignment="1">
      <alignment horizontal="right"/>
    </xf>
    <xf numFmtId="172" fontId="0" fillId="4" borderId="5" xfId="0" applyNumberFormat="1" applyFill="1" applyBorder="1" applyAlignment="1">
      <alignment horizontal="right"/>
    </xf>
    <xf numFmtId="172" fontId="0" fillId="5" borderId="5" xfId="0" applyNumberFormat="1" applyFill="1" applyBorder="1" applyAlignment="1">
      <alignment horizontal="right"/>
    </xf>
    <xf numFmtId="172" fontId="0" fillId="6" borderId="5" xfId="0" applyNumberFormat="1" applyFill="1" applyBorder="1" applyAlignment="1">
      <alignment horizontal="right"/>
    </xf>
    <xf numFmtId="172" fontId="0" fillId="7" borderId="5" xfId="0" applyNumberFormat="1" applyFill="1" applyBorder="1" applyAlignment="1">
      <alignment horizontal="right"/>
    </xf>
    <xf numFmtId="172" fontId="0" fillId="8" borderId="5" xfId="0" applyNumberFormat="1" applyFill="1" applyBorder="1" applyAlignment="1">
      <alignment horizontal="right"/>
    </xf>
    <xf numFmtId="172" fontId="0" fillId="0" borderId="0" xfId="1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2" fontId="0" fillId="0" borderId="0" xfId="0" applyNumberFormat="1" applyFill="1" applyBorder="1" applyAlignment="1">
      <alignment horizontal="right"/>
    </xf>
    <xf numFmtId="172" fontId="2" fillId="0" borderId="0" xfId="1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72" fontId="13" fillId="0" borderId="0" xfId="0" applyNumberFormat="1" applyFont="1" applyFill="1" applyBorder="1"/>
    <xf numFmtId="172" fontId="13" fillId="0" borderId="5" xfId="0" applyNumberFormat="1" applyFont="1" applyFill="1" applyBorder="1"/>
    <xf numFmtId="171" fontId="5" fillId="0" borderId="0" xfId="0" applyNumberFormat="1" applyFont="1" applyFill="1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1" fontId="19" fillId="0" borderId="0" xfId="0" applyNumberFormat="1" applyFont="1" applyFill="1"/>
    <xf numFmtId="172" fontId="19" fillId="3" borderId="0" xfId="1" applyNumberFormat="1" applyFont="1" applyFill="1" applyAlignment="1">
      <alignment horizontal="right"/>
    </xf>
    <xf numFmtId="172" fontId="19" fillId="4" borderId="0" xfId="1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6" borderId="0" xfId="0" applyNumberFormat="1" applyFont="1" applyFill="1" applyAlignment="1">
      <alignment horizontal="right"/>
    </xf>
    <xf numFmtId="172" fontId="19" fillId="7" borderId="0" xfId="0" applyNumberFormat="1" applyFont="1" applyFill="1" applyBorder="1" applyAlignment="1">
      <alignment horizontal="right"/>
    </xf>
    <xf numFmtId="172" fontId="3" fillId="8" borderId="0" xfId="1" applyNumberFormat="1" applyFont="1" applyFill="1" applyBorder="1" applyAlignment="1">
      <alignment horizontal="right" wrapText="1"/>
    </xf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6" borderId="5" xfId="1" applyFont="1" applyFill="1" applyBorder="1"/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084F-FABD-41AD-A420-B33155E5F1E0}">
  <sheetPr>
    <pageSetUpPr fitToPage="1"/>
  </sheetPr>
  <dimension ref="A1:Y60"/>
  <sheetViews>
    <sheetView showGridLines="0" workbookViewId="0">
      <selection activeCell="A4" sqref="A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252">
        <v>43983223</v>
      </c>
      <c r="C5" s="253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252">
        <v>1883173</v>
      </c>
      <c r="C6" s="253"/>
      <c r="D6" s="16"/>
      <c r="F6" s="40" t="s">
        <v>98</v>
      </c>
      <c r="G6" s="8"/>
    </row>
    <row r="7" spans="1:23" x14ac:dyDescent="0.25">
      <c r="A7" s="100" t="s">
        <v>75</v>
      </c>
      <c r="B7" s="254">
        <v>2018</v>
      </c>
      <c r="C7" s="255"/>
    </row>
    <row r="8" spans="1:23" x14ac:dyDescent="0.25">
      <c r="A8" s="101" t="s">
        <v>37</v>
      </c>
      <c r="B8" s="256">
        <v>43465</v>
      </c>
      <c r="C8" s="257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38E7-93B7-4F2C-BA70-66D824879249}">
  <sheetPr>
    <pageSetUpPr fitToPage="1"/>
  </sheetPr>
  <dimension ref="A1:Z60"/>
  <sheetViews>
    <sheetView showGridLines="0" topLeftCell="E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252">
        <v>43983223</v>
      </c>
      <c r="C5" s="253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252">
        <v>1883173</v>
      </c>
      <c r="C6" s="253"/>
      <c r="D6" s="16"/>
      <c r="E6" s="40" t="s">
        <v>102</v>
      </c>
      <c r="F6" s="8"/>
      <c r="G6" s="8"/>
    </row>
    <row r="7" spans="1:26" x14ac:dyDescent="0.25">
      <c r="A7" s="100" t="s">
        <v>75</v>
      </c>
      <c r="B7" s="254">
        <v>2018</v>
      </c>
      <c r="C7" s="255"/>
    </row>
    <row r="8" spans="1:26" x14ac:dyDescent="0.25">
      <c r="A8" s="101" t="s">
        <v>37</v>
      </c>
      <c r="B8" s="256">
        <v>43465</v>
      </c>
      <c r="C8" s="257"/>
    </row>
    <row r="10" spans="1:26" ht="45" x14ac:dyDescent="0.25">
      <c r="A10" s="89" t="s">
        <v>76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1937</v>
      </c>
      <c r="C11" s="136">
        <v>0.3</v>
      </c>
      <c r="D11" s="194">
        <v>200</v>
      </c>
      <c r="E11" s="206">
        <f t="shared" ref="E11:E26" si="0">IF(D11-($B$7-B11)&gt;0,D11-($B$7-B11),0)</f>
        <v>119</v>
      </c>
      <c r="F11" s="200">
        <f t="shared" ref="F11:F26" si="1">E11/SUM($E$11:$E$26)*C11</f>
        <v>8.8148148148148156E-2</v>
      </c>
      <c r="G11" s="138">
        <f t="shared" ref="G11:G26" si="2">F11/$F$27</f>
        <v>0.62227645110685037</v>
      </c>
      <c r="H11" s="105">
        <f>$B$5*G11</f>
        <v>27369723.916681197</v>
      </c>
      <c r="I11" s="108">
        <f t="shared" ref="I11:I26" si="3">G11*$B$6</f>
        <v>1171854.2112602408</v>
      </c>
      <c r="J11" s="113">
        <f t="shared" ref="J11:J26" si="4">H11-I11</f>
        <v>26197869.705420956</v>
      </c>
      <c r="K11" s="119">
        <f>IFERROR(H11/E11*-1,0)</f>
        <v>-229997.6799721109</v>
      </c>
      <c r="L11" s="123">
        <f>I11-K11</f>
        <v>1401851.8912323518</v>
      </c>
      <c r="M11" s="129">
        <f>J11+K11</f>
        <v>25967872.025448844</v>
      </c>
      <c r="N11" s="94">
        <f>K11*D11*-1</f>
        <v>45999535.994422182</v>
      </c>
      <c r="O11" s="144">
        <f>ROUND(C11/$C$27,3)</f>
        <v>0.314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1937</v>
      </c>
      <c r="C12" s="136">
        <v>0.19</v>
      </c>
      <c r="D12" s="194">
        <v>150</v>
      </c>
      <c r="E12" s="206">
        <f t="shared" si="0"/>
        <v>69</v>
      </c>
      <c r="F12" s="200">
        <f t="shared" si="1"/>
        <v>3.2370370370370369E-2</v>
      </c>
      <c r="G12" s="138">
        <f t="shared" si="2"/>
        <v>0.22851664633083493</v>
      </c>
      <c r="H12" s="105">
        <f t="shared" ref="H12:H26" si="5">$B$5*G12</f>
        <v>10050898.614781244</v>
      </c>
      <c r="I12" s="108">
        <f t="shared" si="3"/>
        <v>430336.37842077739</v>
      </c>
      <c r="J12" s="113">
        <f t="shared" si="4"/>
        <v>9620562.2363604661</v>
      </c>
      <c r="K12" s="119">
        <f t="shared" ref="K12:K26" si="6">IFERROR(H12/E12*-1,0)</f>
        <v>-145665.1973156702</v>
      </c>
      <c r="L12" s="123">
        <f t="shared" ref="L12:L26" si="7">I12-K12</f>
        <v>576001.57573644759</v>
      </c>
      <c r="M12" s="129">
        <f t="shared" ref="M12:M26" si="8">J12+K12</f>
        <v>9474897.0390447956</v>
      </c>
      <c r="N12" s="94">
        <f t="shared" ref="N12:N26" si="9">K12*D12*-1</f>
        <v>21849779.59735053</v>
      </c>
      <c r="O12" s="144">
        <f t="shared" ref="O12:O25" si="10">ROUND(C12/$C$27,3)</f>
        <v>0.19900000000000001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1992</v>
      </c>
      <c r="C13" s="192">
        <v>0.02</v>
      </c>
      <c r="D13" s="135">
        <v>50</v>
      </c>
      <c r="E13" s="206">
        <f t="shared" si="0"/>
        <v>24</v>
      </c>
      <c r="F13" s="200">
        <f t="shared" si="1"/>
        <v>1.1851851851851852E-3</v>
      </c>
      <c r="G13" s="138">
        <f t="shared" si="2"/>
        <v>8.3667421997559704E-3</v>
      </c>
      <c r="H13" s="105">
        <f t="shared" si="5"/>
        <v>367996.28795537737</v>
      </c>
      <c r="I13" s="108">
        <f t="shared" si="3"/>
        <v>15756.023008541049</v>
      </c>
      <c r="J13" s="113">
        <f t="shared" si="4"/>
        <v>352240.26494683634</v>
      </c>
      <c r="K13" s="119">
        <f t="shared" si="6"/>
        <v>-15333.17866480739</v>
      </c>
      <c r="L13" s="123">
        <f t="shared" si="7"/>
        <v>31089.201673348442</v>
      </c>
      <c r="M13" s="129">
        <f t="shared" si="8"/>
        <v>336907.08628202893</v>
      </c>
      <c r="N13" s="94">
        <f t="shared" si="9"/>
        <v>766658.93324036954</v>
      </c>
      <c r="O13" s="144">
        <f t="shared" si="10"/>
        <v>2.1000000000000001E-2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1937</v>
      </c>
      <c r="C14" s="136">
        <v>0.03</v>
      </c>
      <c r="D14" s="135">
        <v>60</v>
      </c>
      <c r="E14" s="206">
        <f t="shared" si="0"/>
        <v>0</v>
      </c>
      <c r="F14" s="200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1992</v>
      </c>
      <c r="C15" s="136">
        <v>0.03</v>
      </c>
      <c r="D15" s="135">
        <v>50</v>
      </c>
      <c r="E15" s="206">
        <f t="shared" si="0"/>
        <v>24</v>
      </c>
      <c r="F15" s="200">
        <f t="shared" si="1"/>
        <v>1.7777777777777779E-3</v>
      </c>
      <c r="G15" s="138">
        <f t="shared" si="2"/>
        <v>1.2550113299633956E-2</v>
      </c>
      <c r="H15" s="105">
        <f t="shared" si="5"/>
        <v>551994.43193306611</v>
      </c>
      <c r="I15" s="108">
        <f t="shared" si="3"/>
        <v>23634.034512811577</v>
      </c>
      <c r="J15" s="113">
        <f t="shared" si="4"/>
        <v>528360.39742025454</v>
      </c>
      <c r="K15" s="119">
        <f t="shared" si="6"/>
        <v>-22999.767997211089</v>
      </c>
      <c r="L15" s="123">
        <f t="shared" si="7"/>
        <v>46633.802510022666</v>
      </c>
      <c r="M15" s="129">
        <f t="shared" si="8"/>
        <v>505360.62942304346</v>
      </c>
      <c r="N15" s="94">
        <f t="shared" si="9"/>
        <v>1149988.3998605544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1992</v>
      </c>
      <c r="C16" s="136">
        <v>0.03</v>
      </c>
      <c r="D16" s="135">
        <v>40</v>
      </c>
      <c r="E16" s="206">
        <f t="shared" si="0"/>
        <v>14</v>
      </c>
      <c r="F16" s="200">
        <f t="shared" si="1"/>
        <v>1.0370370370370368E-3</v>
      </c>
      <c r="G16" s="138">
        <f t="shared" si="2"/>
        <v>7.3208994247864721E-3</v>
      </c>
      <c r="H16" s="105">
        <f t="shared" si="5"/>
        <v>321996.75196095515</v>
      </c>
      <c r="I16" s="108">
        <f t="shared" si="3"/>
        <v>13786.520132473415</v>
      </c>
      <c r="J16" s="113">
        <f t="shared" si="4"/>
        <v>308210.23182848172</v>
      </c>
      <c r="K16" s="119">
        <f t="shared" si="6"/>
        <v>-22999.767997211082</v>
      </c>
      <c r="L16" s="123">
        <f t="shared" si="7"/>
        <v>36786.288129684501</v>
      </c>
      <c r="M16" s="129">
        <f t="shared" si="8"/>
        <v>285210.46383127064</v>
      </c>
      <c r="N16" s="94">
        <f t="shared" si="9"/>
        <v>919990.71988844324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1992</v>
      </c>
      <c r="C17" s="192">
        <v>0.06</v>
      </c>
      <c r="D17" s="135">
        <v>40</v>
      </c>
      <c r="E17" s="206">
        <f t="shared" si="0"/>
        <v>14</v>
      </c>
      <c r="F17" s="200">
        <f t="shared" si="1"/>
        <v>2.0740740740740737E-3</v>
      </c>
      <c r="G17" s="138">
        <f t="shared" si="2"/>
        <v>1.4641798849572944E-2</v>
      </c>
      <c r="H17" s="105">
        <f t="shared" si="5"/>
        <v>643993.50392191031</v>
      </c>
      <c r="I17" s="108">
        <f t="shared" si="3"/>
        <v>27573.040264946831</v>
      </c>
      <c r="J17" s="113">
        <f t="shared" si="4"/>
        <v>616420.46365696343</v>
      </c>
      <c r="K17" s="119">
        <f t="shared" si="6"/>
        <v>-45999.535994422164</v>
      </c>
      <c r="L17" s="123">
        <f t="shared" si="7"/>
        <v>73572.576259369001</v>
      </c>
      <c r="M17" s="129">
        <f t="shared" si="8"/>
        <v>570420.92766254127</v>
      </c>
      <c r="N17" s="94">
        <f t="shared" si="9"/>
        <v>1839981.4397768865</v>
      </c>
      <c r="O17" s="144">
        <f t="shared" si="10"/>
        <v>6.3E-2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1992</v>
      </c>
      <c r="C18" s="136">
        <v>0</v>
      </c>
      <c r="D18" s="194">
        <v>25</v>
      </c>
      <c r="E18" s="206">
        <f t="shared" si="0"/>
        <v>0</v>
      </c>
      <c r="F18" s="200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1992</v>
      </c>
      <c r="C19" s="136">
        <v>0.05</v>
      </c>
      <c r="D19" s="135">
        <v>50</v>
      </c>
      <c r="E19" s="206">
        <f t="shared" si="0"/>
        <v>24</v>
      </c>
      <c r="F19" s="200">
        <f t="shared" si="1"/>
        <v>2.9629629629629632E-3</v>
      </c>
      <c r="G19" s="138">
        <f t="shared" si="2"/>
        <v>2.0916855499389927E-2</v>
      </c>
      <c r="H19" s="105">
        <f t="shared" si="5"/>
        <v>919990.71988844348</v>
      </c>
      <c r="I19" s="108">
        <f t="shared" si="3"/>
        <v>39390.057521352624</v>
      </c>
      <c r="J19" s="113">
        <f t="shared" si="4"/>
        <v>880600.66236709082</v>
      </c>
      <c r="K19" s="119">
        <f t="shared" si="6"/>
        <v>-38332.946662018476</v>
      </c>
      <c r="L19" s="123">
        <f t="shared" si="7"/>
        <v>77723.0041833711</v>
      </c>
      <c r="M19" s="129">
        <f t="shared" si="8"/>
        <v>842267.71570507239</v>
      </c>
      <c r="N19" s="94">
        <f t="shared" si="9"/>
        <v>1916647.3331009238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1992</v>
      </c>
      <c r="C20" s="136">
        <v>0.03</v>
      </c>
      <c r="D20" s="135">
        <v>50</v>
      </c>
      <c r="E20" s="206">
        <f t="shared" si="0"/>
        <v>24</v>
      </c>
      <c r="F20" s="200">
        <f t="shared" si="1"/>
        <v>1.7777777777777779E-3</v>
      </c>
      <c r="G20" s="138">
        <f t="shared" si="2"/>
        <v>1.2550113299633956E-2</v>
      </c>
      <c r="H20" s="105">
        <f t="shared" si="5"/>
        <v>551994.43193306611</v>
      </c>
      <c r="I20" s="108">
        <f t="shared" si="3"/>
        <v>23634.034512811577</v>
      </c>
      <c r="J20" s="113">
        <f t="shared" si="4"/>
        <v>528360.39742025454</v>
      </c>
      <c r="K20" s="119">
        <f t="shared" si="6"/>
        <v>-22999.767997211089</v>
      </c>
      <c r="L20" s="123">
        <f t="shared" si="7"/>
        <v>46633.802510022666</v>
      </c>
      <c r="M20" s="129">
        <f t="shared" si="8"/>
        <v>505360.62942304346</v>
      </c>
      <c r="N20" s="94">
        <f>K20*D20*-1</f>
        <v>1149988.3998605544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1992</v>
      </c>
      <c r="C21" s="136">
        <v>0.03</v>
      </c>
      <c r="D21" s="135">
        <v>30</v>
      </c>
      <c r="E21" s="206">
        <f t="shared" si="0"/>
        <v>4</v>
      </c>
      <c r="F21" s="200">
        <f t="shared" si="1"/>
        <v>2.9629629629629629E-4</v>
      </c>
      <c r="G21" s="138">
        <f t="shared" si="2"/>
        <v>2.0916855499389926E-3</v>
      </c>
      <c r="H21" s="105">
        <f t="shared" si="5"/>
        <v>91999.071988844342</v>
      </c>
      <c r="I21" s="108">
        <f t="shared" si="3"/>
        <v>3939.0057521352624</v>
      </c>
      <c r="J21" s="113">
        <f t="shared" si="4"/>
        <v>88060.066236709084</v>
      </c>
      <c r="K21" s="119">
        <f t="shared" si="6"/>
        <v>-22999.767997211085</v>
      </c>
      <c r="L21" s="123">
        <f t="shared" si="7"/>
        <v>26938.773749346346</v>
      </c>
      <c r="M21" s="129">
        <f t="shared" si="8"/>
        <v>65060.298239497999</v>
      </c>
      <c r="N21" s="94">
        <f t="shared" si="9"/>
        <v>689993.03991633258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206">
        <f t="shared" si="0"/>
        <v>27</v>
      </c>
      <c r="F22" s="200">
        <f t="shared" si="1"/>
        <v>1.3333333333333333E-3</v>
      </c>
      <c r="G22" s="138">
        <f t="shared" si="2"/>
        <v>9.4125849747254669E-3</v>
      </c>
      <c r="H22" s="105">
        <f t="shared" si="5"/>
        <v>413995.82394979958</v>
      </c>
      <c r="I22" s="108">
        <f t="shared" si="3"/>
        <v>17725.52588460868</v>
      </c>
      <c r="J22" s="113">
        <f t="shared" si="4"/>
        <v>396270.2980651909</v>
      </c>
      <c r="K22" s="119">
        <f t="shared" si="6"/>
        <v>-15333.178664807392</v>
      </c>
      <c r="L22" s="123">
        <f t="shared" si="7"/>
        <v>33058.70454941607</v>
      </c>
      <c r="M22" s="129">
        <f t="shared" si="8"/>
        <v>380937.1194003835</v>
      </c>
      <c r="N22" s="94">
        <f t="shared" si="9"/>
        <v>613327.14659229573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1992</v>
      </c>
      <c r="C23" s="192">
        <v>5.0000000000000001E-3</v>
      </c>
      <c r="D23" s="194">
        <v>50</v>
      </c>
      <c r="E23" s="206">
        <f t="shared" si="0"/>
        <v>24</v>
      </c>
      <c r="F23" s="200">
        <f t="shared" si="1"/>
        <v>2.9629629629629629E-4</v>
      </c>
      <c r="G23" s="138">
        <f t="shared" si="2"/>
        <v>2.0916855499389926E-3</v>
      </c>
      <c r="H23" s="105">
        <f t="shared" si="5"/>
        <v>91999.071988844342</v>
      </c>
      <c r="I23" s="108">
        <f t="shared" si="3"/>
        <v>3939.0057521352624</v>
      </c>
      <c r="J23" s="113">
        <f t="shared" si="4"/>
        <v>88060.066236709084</v>
      </c>
      <c r="K23" s="119">
        <f t="shared" si="6"/>
        <v>-3833.2946662018476</v>
      </c>
      <c r="L23" s="123">
        <f t="shared" si="7"/>
        <v>7772.3004183371104</v>
      </c>
      <c r="M23" s="129">
        <f t="shared" si="8"/>
        <v>84226.771570507233</v>
      </c>
      <c r="N23" s="94">
        <f t="shared" si="9"/>
        <v>191664.73331009239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1992</v>
      </c>
      <c r="C24" s="136">
        <v>0.02</v>
      </c>
      <c r="D24" s="194">
        <v>40</v>
      </c>
      <c r="E24" s="206">
        <f t="shared" si="0"/>
        <v>14</v>
      </c>
      <c r="F24" s="200">
        <f t="shared" si="1"/>
        <v>6.91358024691358E-4</v>
      </c>
      <c r="G24" s="138">
        <f t="shared" si="2"/>
        <v>4.8805996165243153E-3</v>
      </c>
      <c r="H24" s="105">
        <f t="shared" si="5"/>
        <v>214664.50130730344</v>
      </c>
      <c r="I24" s="108">
        <f t="shared" si="3"/>
        <v>9191.0134216489441</v>
      </c>
      <c r="J24" s="113">
        <f t="shared" si="4"/>
        <v>205473.4878856545</v>
      </c>
      <c r="K24" s="119">
        <f t="shared" si="6"/>
        <v>-15333.178664807388</v>
      </c>
      <c r="L24" s="123">
        <f t="shared" si="7"/>
        <v>24524.192086456333</v>
      </c>
      <c r="M24" s="129">
        <f t="shared" si="8"/>
        <v>190140.30922084712</v>
      </c>
      <c r="N24" s="94">
        <f>K24*D24*-1</f>
        <v>613327.1465922955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1992</v>
      </c>
      <c r="C25" s="136">
        <v>0.01</v>
      </c>
      <c r="D25" s="135">
        <v>20</v>
      </c>
      <c r="E25" s="206">
        <f t="shared" si="0"/>
        <v>0</v>
      </c>
      <c r="F25" s="200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1992</v>
      </c>
      <c r="C26" s="140">
        <v>0.13</v>
      </c>
      <c r="D26" s="139">
        <v>50</v>
      </c>
      <c r="E26" s="207">
        <f t="shared" si="0"/>
        <v>24</v>
      </c>
      <c r="F26" s="201">
        <f t="shared" si="1"/>
        <v>7.7037037037037039E-3</v>
      </c>
      <c r="G26" s="142">
        <f t="shared" si="2"/>
        <v>5.4383824298413805E-2</v>
      </c>
      <c r="H26" s="106">
        <f t="shared" si="5"/>
        <v>2391975.8717099531</v>
      </c>
      <c r="I26" s="109">
        <f t="shared" si="3"/>
        <v>102414.14955551682</v>
      </c>
      <c r="J26" s="114">
        <f t="shared" si="4"/>
        <v>2289561.7221544362</v>
      </c>
      <c r="K26" s="119">
        <f t="shared" si="6"/>
        <v>-99665.661321248044</v>
      </c>
      <c r="L26" s="124">
        <f t="shared" si="7"/>
        <v>202079.81087676488</v>
      </c>
      <c r="M26" s="129">
        <f t="shared" si="8"/>
        <v>2189896.0608331882</v>
      </c>
      <c r="N26" s="94">
        <f t="shared" si="9"/>
        <v>4983283.066062402</v>
      </c>
      <c r="O26" s="144">
        <f>1-SUM(O11:O25)</f>
        <v>0.13899999999999968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82">
        <f t="shared" ref="E27:P27" si="11">SUM(E11:E26)</f>
        <v>405</v>
      </c>
      <c r="F27" s="202">
        <f t="shared" si="11"/>
        <v>0.14165432098765432</v>
      </c>
      <c r="G27" s="180">
        <f t="shared" si="11"/>
        <v>1</v>
      </c>
      <c r="H27" s="105">
        <f t="shared" si="11"/>
        <v>43983223</v>
      </c>
      <c r="I27" s="108">
        <f t="shared" si="11"/>
        <v>1883173.0000000002</v>
      </c>
      <c r="J27" s="115">
        <f t="shared" si="11"/>
        <v>42100050.000000015</v>
      </c>
      <c r="K27" s="120">
        <f t="shared" si="11"/>
        <v>-701492.923914938</v>
      </c>
      <c r="L27" s="125">
        <f t="shared" si="11"/>
        <v>2584665.9239149387</v>
      </c>
      <c r="M27" s="131">
        <f t="shared" si="11"/>
        <v>41398557.076085068</v>
      </c>
      <c r="N27" s="97">
        <f t="shared" si="11"/>
        <v>82684165.949973866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6">
        <f t="shared" ref="B28:G28" si="12">AVERAGE(B11:B26)</f>
        <v>1982.5</v>
      </c>
      <c r="C28" s="185">
        <f t="shared" si="12"/>
        <v>5.9687500000000018E-2</v>
      </c>
      <c r="D28" s="186">
        <f t="shared" si="12"/>
        <v>59.0625</v>
      </c>
      <c r="E28" s="186">
        <f t="shared" si="12"/>
        <v>25.3125</v>
      </c>
      <c r="F28" s="203">
        <f t="shared" si="12"/>
        <v>8.853395061728395E-3</v>
      </c>
      <c r="G28" s="185">
        <f t="shared" si="12"/>
        <v>6.25E-2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1962.3246073298424</v>
      </c>
      <c r="C29" s="204">
        <f>SUMPRODUCT(C11:C26,D11:D26)/SUM(D11:D26)</f>
        <v>0.11624338624338625</v>
      </c>
      <c r="D29" s="188">
        <f>SUMPRODUCT(D11:D26,C11:C26)/SUM(C11:C26)</f>
        <v>115.02617801047118</v>
      </c>
      <c r="E29" s="188">
        <f>SUMPRODUCT(E11:E26,C11:C26)/SUM(C11:C26)</f>
        <v>60.073298429319344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49863135</v>
      </c>
      <c r="F42" s="57">
        <f t="shared" si="18"/>
        <v>2505325</v>
      </c>
      <c r="G42" s="57">
        <f t="shared" si="18"/>
        <v>47250342.775000013</v>
      </c>
      <c r="H42" s="57">
        <f t="shared" si="18"/>
        <v>-984674.57724827132</v>
      </c>
      <c r="I42" s="58">
        <f t="shared" si="18"/>
        <v>3489999.577248272</v>
      </c>
      <c r="J42" s="58">
        <f t="shared" si="18"/>
        <v>46373135.422751732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15D8-DB53-44BB-8D61-EF3D66815F2B}">
  <sheetPr>
    <pageSetUpPr fitToPage="1"/>
  </sheetPr>
  <dimension ref="A1:AA63"/>
  <sheetViews>
    <sheetView showGridLines="0" tabSelected="1" zoomScale="90" zoomScaleNormal="90" workbookViewId="0">
      <selection activeCell="L30" sqref="L30"/>
    </sheetView>
  </sheetViews>
  <sheetFormatPr defaultRowHeight="15" x14ac:dyDescent="0.25"/>
  <cols>
    <col min="1" max="1" width="9.140625" style="69"/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4.14062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5.28515625" style="40" customWidth="1"/>
    <col min="17" max="17" width="17.42578125" style="40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1:27" x14ac:dyDescent="0.25">
      <c r="B1" s="1" t="s">
        <v>44</v>
      </c>
    </row>
    <row r="2" spans="1:27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1:27" x14ac:dyDescent="0.25">
      <c r="B3" s="40" t="s">
        <v>104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1:27" x14ac:dyDescent="0.25">
      <c r="C4" s="14"/>
      <c r="D4" s="14"/>
      <c r="E4" s="16"/>
      <c r="F4" s="1" t="s">
        <v>44</v>
      </c>
      <c r="G4" s="40"/>
      <c r="H4" s="40"/>
      <c r="I4" s="40"/>
      <c r="J4" s="40"/>
      <c r="V4"/>
      <c r="W4"/>
      <c r="X4"/>
      <c r="Y4"/>
    </row>
    <row r="5" spans="1:27" x14ac:dyDescent="0.25">
      <c r="B5" s="99" t="s">
        <v>20</v>
      </c>
      <c r="C5" s="252">
        <v>43983223</v>
      </c>
      <c r="D5" s="253"/>
      <c r="E5" s="16"/>
      <c r="F5" s="40" t="s">
        <v>103</v>
      </c>
      <c r="H5" s="40"/>
      <c r="I5" s="40"/>
      <c r="J5" s="40"/>
      <c r="W5"/>
      <c r="X5"/>
      <c r="Y5"/>
    </row>
    <row r="6" spans="1:27" x14ac:dyDescent="0.25">
      <c r="B6" s="99" t="s">
        <v>21</v>
      </c>
      <c r="C6" s="252">
        <v>1883173</v>
      </c>
      <c r="D6" s="253"/>
      <c r="E6" s="16"/>
      <c r="F6" s="40" t="s">
        <v>102</v>
      </c>
      <c r="G6" s="8"/>
      <c r="H6" s="8"/>
    </row>
    <row r="7" spans="1:27" x14ac:dyDescent="0.25">
      <c r="B7" s="100" t="s">
        <v>75</v>
      </c>
      <c r="C7" s="254">
        <v>2018</v>
      </c>
      <c r="D7" s="255"/>
    </row>
    <row r="8" spans="1:27" x14ac:dyDescent="0.25">
      <c r="B8" s="101" t="s">
        <v>37</v>
      </c>
      <c r="C8" s="256">
        <v>43465</v>
      </c>
      <c r="D8" s="257"/>
    </row>
    <row r="10" spans="1:27" ht="30" x14ac:dyDescent="0.25">
      <c r="B10" s="89" t="s">
        <v>76</v>
      </c>
      <c r="C10" s="134" t="s">
        <v>71</v>
      </c>
      <c r="D10" s="134" t="s">
        <v>133</v>
      </c>
      <c r="E10" s="134" t="s">
        <v>89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9" t="s">
        <v>113</v>
      </c>
      <c r="B11" s="63" t="s">
        <v>1</v>
      </c>
      <c r="C11" s="135">
        <v>1937</v>
      </c>
      <c r="D11" s="136">
        <v>0.3</v>
      </c>
      <c r="E11" s="194">
        <v>200</v>
      </c>
      <c r="F11" s="206">
        <f t="shared" ref="F11:F29" si="0">IF(E11-($C$7-C11)&gt;0,E11-($C$7-C11),0)</f>
        <v>119</v>
      </c>
      <c r="G11" s="200">
        <f t="shared" ref="G11:G29" si="1">F11/SUM($F$11:$F$29)*D11</f>
        <v>8.8148148148148156E-2</v>
      </c>
      <c r="H11" s="138">
        <f>G11/$G$30</f>
        <v>0.62620592878442383</v>
      </c>
      <c r="I11" s="208">
        <f>$C$5*H11</f>
        <v>27542555.009647433</v>
      </c>
      <c r="J11" s="209">
        <f t="shared" ref="J11:J29" si="2">H11*$C$6</f>
        <v>1179254.0975267498</v>
      </c>
      <c r="K11" s="210">
        <f t="shared" ref="K11:K29" si="3">I11-J11</f>
        <v>26363300.912120681</v>
      </c>
      <c r="L11" s="211">
        <f>IFERROR(I11/F11*-1,0)</f>
        <v>-231450.04209787759</v>
      </c>
      <c r="M11" s="212">
        <f>J11-L11</f>
        <v>1410704.1396246273</v>
      </c>
      <c r="N11" s="213">
        <f>K11+L11</f>
        <v>26131850.870022804</v>
      </c>
      <c r="O11" s="239">
        <f>L11*E11*-1</f>
        <v>46290008.41957552</v>
      </c>
      <c r="P11" s="144">
        <f t="shared" ref="P11:P28" si="4">ROUND(D11/$D$30,3)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9" t="s">
        <v>114</v>
      </c>
      <c r="B12" s="63" t="s">
        <v>2</v>
      </c>
      <c r="C12" s="135">
        <v>1937</v>
      </c>
      <c r="D12" s="136">
        <v>0.19</v>
      </c>
      <c r="E12" s="194">
        <v>150</v>
      </c>
      <c r="F12" s="206">
        <f t="shared" si="0"/>
        <v>69</v>
      </c>
      <c r="G12" s="200">
        <f t="shared" si="1"/>
        <v>3.2370370370370369E-2</v>
      </c>
      <c r="H12" s="138">
        <f>G12/$G$30</f>
        <v>0.22995965620066652</v>
      </c>
      <c r="I12" s="208">
        <f t="shared" ref="I12:I29" si="5">$C$5*H12</f>
        <v>10114366.839677248</v>
      </c>
      <c r="J12" s="209">
        <f t="shared" si="2"/>
        <v>433053.8156463778</v>
      </c>
      <c r="K12" s="210">
        <f t="shared" si="3"/>
        <v>9681313.0240308698</v>
      </c>
      <c r="L12" s="211">
        <f t="shared" ref="L12:L29" si="6">IFERROR(I12/F12*-1,0)</f>
        <v>-146585.0266619891</v>
      </c>
      <c r="M12" s="212">
        <f t="shared" ref="M12:M29" si="7">J12-L12</f>
        <v>579638.8423083669</v>
      </c>
      <c r="N12" s="213">
        <f t="shared" ref="N12:N29" si="8">K12+L12</f>
        <v>9534727.9973688815</v>
      </c>
      <c r="O12" s="239">
        <f t="shared" ref="O12:O29" si="9">L12*E12*-1</f>
        <v>21987753.999298364</v>
      </c>
      <c r="P12" s="144">
        <f t="shared" si="4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9" t="s">
        <v>115</v>
      </c>
      <c r="B13" s="63" t="s">
        <v>110</v>
      </c>
      <c r="C13" s="135">
        <v>1992</v>
      </c>
      <c r="D13" s="136">
        <v>5.0000000000000001E-3</v>
      </c>
      <c r="E13" s="194">
        <v>25</v>
      </c>
      <c r="F13" s="206">
        <f t="shared" ref="F13:F16" si="10">IF(E13-($C$7-C13)&gt;0,E13-($C$7-C13),0)</f>
        <v>0</v>
      </c>
      <c r="G13" s="200">
        <f t="shared" si="1"/>
        <v>0</v>
      </c>
      <c r="H13" s="138">
        <f t="shared" ref="H13:H16" si="11">G13/$G$30</f>
        <v>0</v>
      </c>
      <c r="I13" s="208">
        <f t="shared" ref="I13:I16" si="12">$C$5*H13</f>
        <v>0</v>
      </c>
      <c r="J13" s="209">
        <f t="shared" ref="J13:J16" si="13">H13*$C$6</f>
        <v>0</v>
      </c>
      <c r="K13" s="210">
        <f t="shared" ref="K13:K16" si="14">I13-J13</f>
        <v>0</v>
      </c>
      <c r="L13" s="211">
        <f t="shared" ref="L13:L16" si="15">IFERROR(I13/F13*-1,0)</f>
        <v>0</v>
      </c>
      <c r="M13" s="212">
        <f t="shared" ref="M13:M16" si="16">J13-L13</f>
        <v>0</v>
      </c>
      <c r="N13" s="213">
        <f t="shared" ref="N13:N16" si="17">K13+L13</f>
        <v>0</v>
      </c>
      <c r="O13" s="239">
        <f t="shared" ref="O13:O16" si="18">L13*E13*-1</f>
        <v>0</v>
      </c>
      <c r="P13" s="144">
        <f t="shared" si="4"/>
        <v>5.0000000000000001E-3</v>
      </c>
      <c r="Q13" s="144">
        <v>0.03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9" t="s">
        <v>116</v>
      </c>
      <c r="B14" s="63" t="s">
        <v>109</v>
      </c>
      <c r="C14" s="135">
        <f>(1937+1992)/2</f>
        <v>1964.5</v>
      </c>
      <c r="D14" s="136">
        <v>5.0000000000000001E-3</v>
      </c>
      <c r="E14" s="194">
        <v>50</v>
      </c>
      <c r="F14" s="206">
        <f t="shared" si="10"/>
        <v>0</v>
      </c>
      <c r="G14" s="200">
        <f t="shared" si="1"/>
        <v>0</v>
      </c>
      <c r="H14" s="138">
        <f t="shared" si="11"/>
        <v>0</v>
      </c>
      <c r="I14" s="208">
        <f t="shared" si="12"/>
        <v>0</v>
      </c>
      <c r="J14" s="209">
        <f t="shared" si="13"/>
        <v>0</v>
      </c>
      <c r="K14" s="210">
        <f t="shared" si="14"/>
        <v>0</v>
      </c>
      <c r="L14" s="211">
        <f t="shared" si="15"/>
        <v>0</v>
      </c>
      <c r="M14" s="212">
        <f t="shared" si="16"/>
        <v>0</v>
      </c>
      <c r="N14" s="213">
        <f t="shared" si="17"/>
        <v>0</v>
      </c>
      <c r="O14" s="239">
        <f t="shared" si="18"/>
        <v>0</v>
      </c>
      <c r="P14" s="144">
        <f t="shared" si="4"/>
        <v>5.0000000000000001E-3</v>
      </c>
      <c r="Q14" s="144">
        <v>0.03</v>
      </c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9" t="s">
        <v>117</v>
      </c>
      <c r="B15" s="63" t="s">
        <v>111</v>
      </c>
      <c r="C15" s="135">
        <v>1992</v>
      </c>
      <c r="D15" s="136">
        <v>5.0000000000000001E-3</v>
      </c>
      <c r="E15" s="194">
        <v>25</v>
      </c>
      <c r="F15" s="206">
        <f t="shared" ref="F15" si="19">IF(E15-($C$7-C15)&gt;0,E15-($C$7-C15),0)</f>
        <v>0</v>
      </c>
      <c r="G15" s="200">
        <f t="shared" si="1"/>
        <v>0</v>
      </c>
      <c r="H15" s="138">
        <f t="shared" si="11"/>
        <v>0</v>
      </c>
      <c r="I15" s="208">
        <f t="shared" ref="I15" si="20">$C$5*H15</f>
        <v>0</v>
      </c>
      <c r="J15" s="209">
        <f t="shared" ref="J15" si="21">H15*$C$6</f>
        <v>0</v>
      </c>
      <c r="K15" s="210">
        <f t="shared" ref="K15" si="22">I15-J15</f>
        <v>0</v>
      </c>
      <c r="L15" s="211">
        <f t="shared" ref="L15" si="23">IFERROR(I15/F15*-1,0)</f>
        <v>0</v>
      </c>
      <c r="M15" s="212">
        <f t="shared" ref="M15" si="24">J15-L15</f>
        <v>0</v>
      </c>
      <c r="N15" s="213">
        <f t="shared" ref="N15" si="25">K15+L15</f>
        <v>0</v>
      </c>
      <c r="O15" s="239">
        <f t="shared" ref="O15" si="26">L15*E15*-1</f>
        <v>0</v>
      </c>
      <c r="P15" s="144">
        <f t="shared" si="4"/>
        <v>5.0000000000000001E-3</v>
      </c>
      <c r="Q15" s="144">
        <v>0.03</v>
      </c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9" t="s">
        <v>118</v>
      </c>
      <c r="B16" s="63" t="s">
        <v>112</v>
      </c>
      <c r="C16" s="135">
        <v>1992</v>
      </c>
      <c r="D16" s="136">
        <v>5.0000000000000001E-3</v>
      </c>
      <c r="E16" s="194">
        <v>50</v>
      </c>
      <c r="F16" s="206">
        <f t="shared" si="10"/>
        <v>24</v>
      </c>
      <c r="G16" s="200">
        <f t="shared" si="1"/>
        <v>2.9629629629629629E-4</v>
      </c>
      <c r="H16" s="138">
        <f t="shared" si="11"/>
        <v>2.1048938782669705E-3</v>
      </c>
      <c r="I16" s="208">
        <f t="shared" si="12"/>
        <v>92580.016839151009</v>
      </c>
      <c r="J16" s="209">
        <f t="shared" si="13"/>
        <v>3963.8793194176455</v>
      </c>
      <c r="K16" s="210">
        <f t="shared" si="14"/>
        <v>88616.137519733369</v>
      </c>
      <c r="L16" s="211">
        <f t="shared" si="15"/>
        <v>-3857.500701631292</v>
      </c>
      <c r="M16" s="212">
        <f t="shared" si="16"/>
        <v>7821.3800210489371</v>
      </c>
      <c r="N16" s="213">
        <f t="shared" si="17"/>
        <v>84758.636818102081</v>
      </c>
      <c r="O16" s="239">
        <f t="shared" si="18"/>
        <v>192875.03508156459</v>
      </c>
      <c r="P16" s="144">
        <f t="shared" si="4"/>
        <v>5.0000000000000001E-3</v>
      </c>
      <c r="Q16" s="144">
        <v>0.03</v>
      </c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9" t="s">
        <v>119</v>
      </c>
      <c r="B17" s="64" t="s">
        <v>73</v>
      </c>
      <c r="C17" s="135">
        <v>1937</v>
      </c>
      <c r="D17" s="136">
        <v>0.03</v>
      </c>
      <c r="E17" s="135">
        <v>60</v>
      </c>
      <c r="F17" s="206">
        <f t="shared" si="0"/>
        <v>0</v>
      </c>
      <c r="G17" s="200">
        <f t="shared" si="1"/>
        <v>0</v>
      </c>
      <c r="H17" s="138">
        <f t="shared" ref="H17:H29" si="27">G17/$G$30</f>
        <v>0</v>
      </c>
      <c r="I17" s="208">
        <f t="shared" si="5"/>
        <v>0</v>
      </c>
      <c r="J17" s="209">
        <f t="shared" si="2"/>
        <v>0</v>
      </c>
      <c r="K17" s="210">
        <f t="shared" si="3"/>
        <v>0</v>
      </c>
      <c r="L17" s="211">
        <f t="shared" si="6"/>
        <v>0</v>
      </c>
      <c r="M17" s="212">
        <f t="shared" si="7"/>
        <v>0</v>
      </c>
      <c r="N17" s="213">
        <f t="shared" si="8"/>
        <v>0</v>
      </c>
      <c r="O17" s="239">
        <f t="shared" si="9"/>
        <v>0</v>
      </c>
      <c r="P17" s="144">
        <f t="shared" si="4"/>
        <v>3.1E-2</v>
      </c>
      <c r="Q17" s="144"/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9" t="s">
        <v>120</v>
      </c>
      <c r="B18" s="64" t="s">
        <v>74</v>
      </c>
      <c r="C18" s="135">
        <v>1992</v>
      </c>
      <c r="D18" s="136">
        <v>0.03</v>
      </c>
      <c r="E18" s="135">
        <v>50</v>
      </c>
      <c r="F18" s="206">
        <f t="shared" si="0"/>
        <v>24</v>
      </c>
      <c r="G18" s="200">
        <f t="shared" si="1"/>
        <v>1.7777777777777779E-3</v>
      </c>
      <c r="H18" s="138">
        <f t="shared" si="27"/>
        <v>1.2629363269601825E-2</v>
      </c>
      <c r="I18" s="208">
        <f t="shared" si="5"/>
        <v>555480.10103490623</v>
      </c>
      <c r="J18" s="209">
        <f t="shared" si="2"/>
        <v>23783.275916505878</v>
      </c>
      <c r="K18" s="210">
        <f t="shared" si="3"/>
        <v>531696.82511840039</v>
      </c>
      <c r="L18" s="211">
        <f t="shared" si="6"/>
        <v>-23145.004209787759</v>
      </c>
      <c r="M18" s="212">
        <f t="shared" si="7"/>
        <v>46928.280126293641</v>
      </c>
      <c r="N18" s="213">
        <f t="shared" si="8"/>
        <v>508551.82090861263</v>
      </c>
      <c r="O18" s="239">
        <f t="shared" si="9"/>
        <v>1157250.2104893881</v>
      </c>
      <c r="P18" s="144">
        <f t="shared" si="4"/>
        <v>3.1E-2</v>
      </c>
      <c r="Q18" s="144"/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9" t="s">
        <v>121</v>
      </c>
      <c r="B19" s="64" t="s">
        <v>82</v>
      </c>
      <c r="C19" s="135">
        <v>1992</v>
      </c>
      <c r="D19" s="136">
        <v>0.03</v>
      </c>
      <c r="E19" s="135">
        <v>40</v>
      </c>
      <c r="F19" s="206">
        <f t="shared" si="0"/>
        <v>14</v>
      </c>
      <c r="G19" s="200">
        <f t="shared" si="1"/>
        <v>1.0370370370370368E-3</v>
      </c>
      <c r="H19" s="138">
        <f t="shared" si="27"/>
        <v>7.3671285739343962E-3</v>
      </c>
      <c r="I19" s="208">
        <f t="shared" si="5"/>
        <v>324030.05893702852</v>
      </c>
      <c r="J19" s="209">
        <f t="shared" si="2"/>
        <v>13873.577617961759</v>
      </c>
      <c r="K19" s="210">
        <f t="shared" si="3"/>
        <v>310156.48131906678</v>
      </c>
      <c r="L19" s="211">
        <f t="shared" si="6"/>
        <v>-23145.004209787752</v>
      </c>
      <c r="M19" s="212">
        <f t="shared" si="7"/>
        <v>37018.581827749513</v>
      </c>
      <c r="N19" s="213">
        <f t="shared" si="8"/>
        <v>287011.47710927902</v>
      </c>
      <c r="O19" s="239">
        <f t="shared" si="9"/>
        <v>925800.16839151015</v>
      </c>
      <c r="P19" s="144">
        <f t="shared" si="4"/>
        <v>3.1E-2</v>
      </c>
      <c r="Q19" s="144"/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9" t="s">
        <v>122</v>
      </c>
      <c r="B20" s="63" t="s">
        <v>4</v>
      </c>
      <c r="C20" s="135">
        <v>1992</v>
      </c>
      <c r="D20" s="192">
        <v>0.06</v>
      </c>
      <c r="E20" s="135">
        <v>40</v>
      </c>
      <c r="F20" s="206">
        <f t="shared" si="0"/>
        <v>14</v>
      </c>
      <c r="G20" s="200">
        <f t="shared" si="1"/>
        <v>2.0740740740740737E-3</v>
      </c>
      <c r="H20" s="138">
        <f t="shared" si="27"/>
        <v>1.4734257147868792E-2</v>
      </c>
      <c r="I20" s="208">
        <f t="shared" si="5"/>
        <v>648060.11787405703</v>
      </c>
      <c r="J20" s="209">
        <f t="shared" si="2"/>
        <v>27747.155235923517</v>
      </c>
      <c r="K20" s="210">
        <f t="shared" si="3"/>
        <v>620312.96263813355</v>
      </c>
      <c r="L20" s="211">
        <f t="shared" si="6"/>
        <v>-46290.008419575504</v>
      </c>
      <c r="M20" s="212">
        <f t="shared" si="7"/>
        <v>74037.163655499025</v>
      </c>
      <c r="N20" s="213">
        <f t="shared" si="8"/>
        <v>574022.95421855804</v>
      </c>
      <c r="O20" s="239">
        <f t="shared" si="9"/>
        <v>1851600.3367830203</v>
      </c>
      <c r="P20" s="144">
        <f t="shared" si="4"/>
        <v>6.3E-2</v>
      </c>
      <c r="Q20" s="144">
        <v>0.08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9" t="s">
        <v>123</v>
      </c>
      <c r="B21" s="63" t="s">
        <v>5</v>
      </c>
      <c r="C21" s="135">
        <v>1992</v>
      </c>
      <c r="D21" s="136">
        <v>0</v>
      </c>
      <c r="E21" s="194">
        <v>25</v>
      </c>
      <c r="F21" s="206">
        <f t="shared" si="0"/>
        <v>0</v>
      </c>
      <c r="G21" s="200">
        <f t="shared" si="1"/>
        <v>0</v>
      </c>
      <c r="H21" s="138">
        <f t="shared" si="27"/>
        <v>0</v>
      </c>
      <c r="I21" s="208">
        <f t="shared" si="5"/>
        <v>0</v>
      </c>
      <c r="J21" s="209">
        <f t="shared" si="2"/>
        <v>0</v>
      </c>
      <c r="K21" s="210">
        <f t="shared" si="3"/>
        <v>0</v>
      </c>
      <c r="L21" s="211">
        <f t="shared" si="6"/>
        <v>0</v>
      </c>
      <c r="M21" s="212">
        <f t="shared" si="7"/>
        <v>0</v>
      </c>
      <c r="N21" s="213">
        <f t="shared" si="8"/>
        <v>0</v>
      </c>
      <c r="O21" s="239">
        <f t="shared" si="9"/>
        <v>0</v>
      </c>
      <c r="P21" s="144">
        <f t="shared" si="4"/>
        <v>0</v>
      </c>
      <c r="Q21" s="144">
        <v>0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x14ac:dyDescent="0.25">
      <c r="A22" s="69" t="s">
        <v>124</v>
      </c>
      <c r="B22" s="63" t="s">
        <v>6</v>
      </c>
      <c r="C22" s="135">
        <v>1992</v>
      </c>
      <c r="D22" s="136">
        <v>0.05</v>
      </c>
      <c r="E22" s="135">
        <v>50</v>
      </c>
      <c r="F22" s="206">
        <f t="shared" si="0"/>
        <v>24</v>
      </c>
      <c r="G22" s="200">
        <f t="shared" si="1"/>
        <v>2.9629629629629632E-3</v>
      </c>
      <c r="H22" s="138">
        <f t="shared" si="27"/>
        <v>2.104893878266971E-2</v>
      </c>
      <c r="I22" s="208">
        <f t="shared" si="5"/>
        <v>925800.16839151038</v>
      </c>
      <c r="J22" s="209">
        <f t="shared" si="2"/>
        <v>39638.793194176469</v>
      </c>
      <c r="K22" s="210">
        <f t="shared" si="3"/>
        <v>886161.37519733387</v>
      </c>
      <c r="L22" s="211">
        <f t="shared" si="6"/>
        <v>-38575.007016312935</v>
      </c>
      <c r="M22" s="212">
        <f t="shared" si="7"/>
        <v>78213.800210489397</v>
      </c>
      <c r="N22" s="213">
        <f t="shared" si="8"/>
        <v>847586.36818102095</v>
      </c>
      <c r="O22" s="239">
        <f t="shared" si="9"/>
        <v>1928750.3508156468</v>
      </c>
      <c r="P22" s="144">
        <f t="shared" si="4"/>
        <v>5.1999999999999998E-2</v>
      </c>
      <c r="Q22" s="144">
        <v>0.05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9" t="s">
        <v>125</v>
      </c>
      <c r="B23" s="63" t="s">
        <v>7</v>
      </c>
      <c r="C23" s="135">
        <v>1992</v>
      </c>
      <c r="D23" s="136">
        <v>0.03</v>
      </c>
      <c r="E23" s="135">
        <v>50</v>
      </c>
      <c r="F23" s="206">
        <f t="shared" si="0"/>
        <v>24</v>
      </c>
      <c r="G23" s="200">
        <f t="shared" si="1"/>
        <v>1.7777777777777779E-3</v>
      </c>
      <c r="H23" s="138">
        <f t="shared" si="27"/>
        <v>1.2629363269601825E-2</v>
      </c>
      <c r="I23" s="208">
        <f t="shared" si="5"/>
        <v>555480.10103490623</v>
      </c>
      <c r="J23" s="209">
        <f t="shared" si="2"/>
        <v>23783.275916505878</v>
      </c>
      <c r="K23" s="210">
        <f t="shared" si="3"/>
        <v>531696.82511840039</v>
      </c>
      <c r="L23" s="211">
        <f t="shared" si="6"/>
        <v>-23145.004209787759</v>
      </c>
      <c r="M23" s="212">
        <f t="shared" si="7"/>
        <v>46928.280126293641</v>
      </c>
      <c r="N23" s="213">
        <f t="shared" si="8"/>
        <v>508551.82090861263</v>
      </c>
      <c r="O23" s="239">
        <f>L23*E23*-1</f>
        <v>1157250.2104893881</v>
      </c>
      <c r="P23" s="144">
        <f t="shared" si="4"/>
        <v>3.1E-2</v>
      </c>
      <c r="Q23" s="144">
        <v>0.03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9" t="s">
        <v>126</v>
      </c>
      <c r="B24" s="63" t="s">
        <v>8</v>
      </c>
      <c r="C24" s="135">
        <v>1992</v>
      </c>
      <c r="D24" s="136">
        <v>0.03</v>
      </c>
      <c r="E24" s="135">
        <v>30</v>
      </c>
      <c r="F24" s="206">
        <f t="shared" si="0"/>
        <v>4</v>
      </c>
      <c r="G24" s="200">
        <f t="shared" si="1"/>
        <v>2.9629629629629629E-4</v>
      </c>
      <c r="H24" s="138">
        <f t="shared" si="27"/>
        <v>2.1048938782669705E-3</v>
      </c>
      <c r="I24" s="208">
        <f t="shared" si="5"/>
        <v>92580.016839151009</v>
      </c>
      <c r="J24" s="209">
        <f t="shared" si="2"/>
        <v>3963.8793194176455</v>
      </c>
      <c r="K24" s="210">
        <f t="shared" si="3"/>
        <v>88616.137519733369</v>
      </c>
      <c r="L24" s="211">
        <f t="shared" si="6"/>
        <v>-23145.004209787752</v>
      </c>
      <c r="M24" s="212">
        <f t="shared" si="7"/>
        <v>27108.883529205399</v>
      </c>
      <c r="N24" s="213">
        <f t="shared" si="8"/>
        <v>65471.133309945617</v>
      </c>
      <c r="O24" s="239">
        <f t="shared" si="9"/>
        <v>694350.12629363255</v>
      </c>
      <c r="P24" s="144">
        <f t="shared" si="4"/>
        <v>3.1E-2</v>
      </c>
      <c r="Q24" s="144">
        <v>0.03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s="14" customFormat="1" x14ac:dyDescent="0.25">
      <c r="A25" s="71" t="s">
        <v>127</v>
      </c>
      <c r="B25" s="63" t="s">
        <v>9</v>
      </c>
      <c r="C25" s="135">
        <v>2005</v>
      </c>
      <c r="D25" s="136">
        <v>0.02</v>
      </c>
      <c r="E25" s="135">
        <v>40</v>
      </c>
      <c r="F25" s="206">
        <f t="shared" si="0"/>
        <v>27</v>
      </c>
      <c r="G25" s="200">
        <f t="shared" si="1"/>
        <v>1.3333333333333333E-3</v>
      </c>
      <c r="H25" s="138">
        <f t="shared" si="27"/>
        <v>9.4720224522013684E-3</v>
      </c>
      <c r="I25" s="208">
        <f t="shared" si="5"/>
        <v>416610.07577617961</v>
      </c>
      <c r="J25" s="209">
        <f t="shared" si="2"/>
        <v>17837.456937379407</v>
      </c>
      <c r="K25" s="210">
        <f t="shared" si="3"/>
        <v>398772.61883880023</v>
      </c>
      <c r="L25" s="211">
        <f t="shared" si="6"/>
        <v>-15430.00280652517</v>
      </c>
      <c r="M25" s="212">
        <f t="shared" si="7"/>
        <v>33267.459743904576</v>
      </c>
      <c r="N25" s="213">
        <f t="shared" si="8"/>
        <v>383342.61603227508</v>
      </c>
      <c r="O25" s="239">
        <f t="shared" si="9"/>
        <v>617200.11226100684</v>
      </c>
      <c r="P25" s="144">
        <f t="shared" si="4"/>
        <v>2.1000000000000001E-2</v>
      </c>
      <c r="Q25" s="144">
        <v>0.02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71" t="s">
        <v>128</v>
      </c>
      <c r="B26" s="66" t="s">
        <v>10</v>
      </c>
      <c r="C26" s="135">
        <v>1992</v>
      </c>
      <c r="D26" s="192">
        <v>5.0000000000000001E-3</v>
      </c>
      <c r="E26" s="194">
        <v>50</v>
      </c>
      <c r="F26" s="206">
        <f t="shared" si="0"/>
        <v>24</v>
      </c>
      <c r="G26" s="200">
        <f t="shared" si="1"/>
        <v>2.9629629629629629E-4</v>
      </c>
      <c r="H26" s="138">
        <f t="shared" si="27"/>
        <v>2.1048938782669705E-3</v>
      </c>
      <c r="I26" s="208">
        <f t="shared" si="5"/>
        <v>92580.016839151009</v>
      </c>
      <c r="J26" s="209">
        <f t="shared" si="2"/>
        <v>3963.8793194176455</v>
      </c>
      <c r="K26" s="210">
        <f t="shared" si="3"/>
        <v>88616.137519733369</v>
      </c>
      <c r="L26" s="211">
        <f t="shared" si="6"/>
        <v>-3857.500701631292</v>
      </c>
      <c r="M26" s="212">
        <f t="shared" si="7"/>
        <v>7821.3800210489371</v>
      </c>
      <c r="N26" s="213">
        <f t="shared" si="8"/>
        <v>84758.636818102081</v>
      </c>
      <c r="O26" s="239">
        <f t="shared" si="9"/>
        <v>192875.03508156459</v>
      </c>
      <c r="P26" s="144">
        <f t="shared" si="4"/>
        <v>5.0000000000000001E-3</v>
      </c>
      <c r="Q26" s="144">
        <v>0.02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71" t="s">
        <v>129</v>
      </c>
      <c r="B27" s="63" t="s">
        <v>130</v>
      </c>
      <c r="C27" s="135">
        <v>1992</v>
      </c>
      <c r="D27" s="136">
        <v>0.02</v>
      </c>
      <c r="E27" s="194">
        <v>40</v>
      </c>
      <c r="F27" s="206">
        <f t="shared" si="0"/>
        <v>14</v>
      </c>
      <c r="G27" s="200">
        <f t="shared" si="1"/>
        <v>6.91358024691358E-4</v>
      </c>
      <c r="H27" s="138">
        <f t="shared" si="27"/>
        <v>4.9114190492895978E-3</v>
      </c>
      <c r="I27" s="208">
        <f t="shared" si="5"/>
        <v>216020.03929135238</v>
      </c>
      <c r="J27" s="209">
        <f t="shared" si="2"/>
        <v>9249.0517453078392</v>
      </c>
      <c r="K27" s="210">
        <f t="shared" si="3"/>
        <v>206770.98754604455</v>
      </c>
      <c r="L27" s="211">
        <f t="shared" si="6"/>
        <v>-15430.00280652517</v>
      </c>
      <c r="M27" s="212">
        <f t="shared" si="7"/>
        <v>24679.054551833011</v>
      </c>
      <c r="N27" s="213">
        <f t="shared" si="8"/>
        <v>191340.98473951936</v>
      </c>
      <c r="O27" s="239">
        <f>L27*E27*-1</f>
        <v>617200.11226100684</v>
      </c>
      <c r="P27" s="144">
        <f t="shared" si="4"/>
        <v>2.1000000000000001E-2</v>
      </c>
      <c r="Q27" s="144">
        <v>0.02</v>
      </c>
      <c r="R27" s="43"/>
      <c r="S27" s="143"/>
      <c r="T27" s="43"/>
      <c r="U27" s="42"/>
      <c r="V27" s="43"/>
      <c r="W27" s="42"/>
      <c r="X27" s="43"/>
      <c r="Y27" s="42"/>
      <c r="Z27" s="40"/>
      <c r="AA27" s="40"/>
    </row>
    <row r="28" spans="1:27" x14ac:dyDescent="0.25">
      <c r="A28" s="71" t="s">
        <v>131</v>
      </c>
      <c r="B28" s="63" t="s">
        <v>12</v>
      </c>
      <c r="C28" s="135">
        <v>1992</v>
      </c>
      <c r="D28" s="136">
        <v>0.01</v>
      </c>
      <c r="E28" s="135">
        <v>20</v>
      </c>
      <c r="F28" s="206">
        <f t="shared" si="0"/>
        <v>0</v>
      </c>
      <c r="G28" s="200">
        <f t="shared" si="1"/>
        <v>0</v>
      </c>
      <c r="H28" s="138">
        <f t="shared" si="27"/>
        <v>0</v>
      </c>
      <c r="I28" s="208">
        <f t="shared" si="5"/>
        <v>0</v>
      </c>
      <c r="J28" s="209">
        <f t="shared" si="2"/>
        <v>0</v>
      </c>
      <c r="K28" s="210">
        <f t="shared" si="3"/>
        <v>0</v>
      </c>
      <c r="L28" s="211">
        <f t="shared" si="6"/>
        <v>0</v>
      </c>
      <c r="M28" s="212">
        <f t="shared" si="7"/>
        <v>0</v>
      </c>
      <c r="N28" s="213">
        <f t="shared" si="8"/>
        <v>0</v>
      </c>
      <c r="O28" s="239">
        <f t="shared" si="9"/>
        <v>0</v>
      </c>
      <c r="P28" s="144">
        <f t="shared" si="4"/>
        <v>0.01</v>
      </c>
      <c r="Q28" s="144">
        <v>0.01</v>
      </c>
      <c r="R28" s="43"/>
      <c r="S28" s="143"/>
      <c r="T28" s="43"/>
      <c r="U28" s="42"/>
      <c r="V28" s="43"/>
      <c r="W28" s="42"/>
      <c r="X28" s="43"/>
      <c r="Y28" s="42"/>
      <c r="Z28" s="40"/>
      <c r="AA28" s="40"/>
    </row>
    <row r="29" spans="1:27" x14ac:dyDescent="0.25">
      <c r="A29" s="71" t="s">
        <v>132</v>
      </c>
      <c r="B29" s="67" t="s">
        <v>13</v>
      </c>
      <c r="C29" s="139">
        <v>1992</v>
      </c>
      <c r="D29" s="140">
        <v>0.13</v>
      </c>
      <c r="E29" s="139">
        <v>50</v>
      </c>
      <c r="F29" s="207">
        <f t="shared" si="0"/>
        <v>24</v>
      </c>
      <c r="G29" s="201">
        <f t="shared" si="1"/>
        <v>7.7037037037037039E-3</v>
      </c>
      <c r="H29" s="142">
        <f t="shared" si="27"/>
        <v>5.4727240834941238E-2</v>
      </c>
      <c r="I29" s="214">
        <f t="shared" si="5"/>
        <v>2407080.4378179265</v>
      </c>
      <c r="J29" s="215">
        <f t="shared" si="2"/>
        <v>103060.86230485879</v>
      </c>
      <c r="K29" s="216">
        <f t="shared" si="3"/>
        <v>2304019.5755130677</v>
      </c>
      <c r="L29" s="211">
        <f t="shared" si="6"/>
        <v>-100295.0182424136</v>
      </c>
      <c r="M29" s="217">
        <f t="shared" si="7"/>
        <v>203355.88054727239</v>
      </c>
      <c r="N29" s="213">
        <f t="shared" si="8"/>
        <v>2203724.557270654</v>
      </c>
      <c r="O29" s="239">
        <f t="shared" si="9"/>
        <v>5014750.9121206803</v>
      </c>
      <c r="P29" s="144">
        <f>1-SUM(P11:P28)</f>
        <v>0.13999999999999979</v>
      </c>
      <c r="Q29" s="144">
        <v>0.13</v>
      </c>
      <c r="R29" s="43"/>
      <c r="S29" s="143"/>
      <c r="T29" s="43"/>
      <c r="U29" s="42"/>
      <c r="V29" s="43"/>
      <c r="W29" s="42"/>
      <c r="X29" s="43"/>
      <c r="Y29" s="42"/>
      <c r="Z29" s="40"/>
      <c r="AA29" s="40"/>
    </row>
    <row r="30" spans="1:27" x14ac:dyDescent="0.25">
      <c r="B30" s="80" t="s">
        <v>83</v>
      </c>
      <c r="C30" s="179" t="s">
        <v>72</v>
      </c>
      <c r="D30" s="180">
        <f>SUM(D11:D29)</f>
        <v>0.95500000000000029</v>
      </c>
      <c r="E30" s="181" t="s">
        <v>72</v>
      </c>
      <c r="F30" s="182">
        <f t="shared" ref="F30:Q30" si="28">SUM(F11:F29)</f>
        <v>405</v>
      </c>
      <c r="G30" s="202">
        <f t="shared" si="28"/>
        <v>0.14076543209876544</v>
      </c>
      <c r="H30" s="180">
        <f t="shared" si="28"/>
        <v>1</v>
      </c>
      <c r="I30" s="208">
        <f t="shared" si="28"/>
        <v>43983223.000000015</v>
      </c>
      <c r="J30" s="209">
        <f t="shared" si="28"/>
        <v>1883173.0000000005</v>
      </c>
      <c r="K30" s="218">
        <f t="shared" si="28"/>
        <v>42100049.999999993</v>
      </c>
      <c r="L30" s="267">
        <f t="shared" si="28"/>
        <v>-694350.12629363278</v>
      </c>
      <c r="M30" s="219">
        <f t="shared" si="28"/>
        <v>2577523.1262936322</v>
      </c>
      <c r="N30" s="220">
        <f t="shared" si="28"/>
        <v>41405699.873706363</v>
      </c>
      <c r="O30" s="240">
        <f t="shared" si="28"/>
        <v>82627665.028942317</v>
      </c>
      <c r="P30" s="145">
        <f t="shared" si="28"/>
        <v>1</v>
      </c>
      <c r="Q30" s="145">
        <f t="shared" si="28"/>
        <v>1.0000000000000002</v>
      </c>
      <c r="R30" s="42"/>
      <c r="S30" s="43"/>
      <c r="T30" s="42"/>
      <c r="U30" s="43"/>
      <c r="V30" s="42"/>
      <c r="W30" s="43"/>
      <c r="X30" s="42"/>
      <c r="Y30" s="43"/>
      <c r="Z30" s="40"/>
      <c r="AA30" s="40"/>
    </row>
    <row r="31" spans="1:27" x14ac:dyDescent="0.25">
      <c r="B31" s="80" t="s">
        <v>84</v>
      </c>
      <c r="C31" s="186">
        <f t="shared" ref="C31:H31" si="29">AVERAGE(C11:C29)</f>
        <v>1982.5526315789473</v>
      </c>
      <c r="D31" s="185">
        <f t="shared" si="29"/>
        <v>5.0263157894736857E-2</v>
      </c>
      <c r="E31" s="186">
        <f t="shared" si="29"/>
        <v>55</v>
      </c>
      <c r="F31" s="186">
        <f t="shared" si="29"/>
        <v>21.315789473684209</v>
      </c>
      <c r="G31" s="203">
        <f t="shared" si="29"/>
        <v>7.4087069525666021E-3</v>
      </c>
      <c r="H31" s="185">
        <f t="shared" si="29"/>
        <v>5.2631578947368418E-2</v>
      </c>
      <c r="I31" s="16"/>
      <c r="J31" s="16"/>
      <c r="K31" s="16"/>
      <c r="L31" s="11"/>
      <c r="M31" s="43"/>
      <c r="N31" s="42"/>
      <c r="O31" s="93"/>
      <c r="P31" s="143"/>
      <c r="Q31" s="43"/>
      <c r="R31" s="42"/>
      <c r="S31" s="43"/>
      <c r="T31" s="42"/>
      <c r="U31" s="43"/>
      <c r="V31" s="42"/>
      <c r="W31" s="43"/>
      <c r="X31" s="42"/>
      <c r="Y31" s="43"/>
      <c r="Z31" s="40"/>
      <c r="AA31" s="40"/>
    </row>
    <row r="32" spans="1:27" x14ac:dyDescent="0.25">
      <c r="B32" s="80" t="s">
        <v>85</v>
      </c>
      <c r="C32" s="188">
        <f>SUMPRODUCT(C11:C29,D11:D29)/SUM(D11:D29)</f>
        <v>1962.1806282722507</v>
      </c>
      <c r="D32" s="204">
        <f>SUMPRODUCT(D11:D29,E11:E29)/SUM(E11:E29)</f>
        <v>0.10488038277511963</v>
      </c>
      <c r="E32" s="188">
        <f>SUMPRODUCT(E11:E29,D11:D29)/SUM(D11:D29)</f>
        <v>114.76439790575914</v>
      </c>
      <c r="F32" s="188">
        <f>SUMPRODUCT(F11:F29,D11:D29)/SUM(D11:D29)</f>
        <v>59.696335078534005</v>
      </c>
      <c r="G32" s="189"/>
      <c r="H32" s="189"/>
      <c r="I32" s="90"/>
      <c r="J32" s="16"/>
      <c r="K32" s="16"/>
      <c r="L32" s="11"/>
      <c r="M32" s="43"/>
      <c r="N32" s="42"/>
      <c r="O32" s="93"/>
      <c r="P32" s="42"/>
      <c r="Q32" s="43"/>
      <c r="R32" s="42"/>
      <c r="S32" s="43"/>
      <c r="T32" s="42"/>
      <c r="U32" s="43"/>
      <c r="V32" s="42"/>
      <c r="W32" s="43"/>
      <c r="X32" s="42"/>
      <c r="Y32" s="43"/>
      <c r="Z32" s="40"/>
      <c r="AA32" s="40"/>
    </row>
    <row r="33" spans="1:25" x14ac:dyDescent="0.25">
      <c r="E33" s="16"/>
      <c r="F33" s="16"/>
      <c r="G33" s="14"/>
      <c r="H33" s="14"/>
      <c r="I33" s="14"/>
      <c r="J33" s="14"/>
    </row>
    <row r="34" spans="1:25" ht="30" x14ac:dyDescent="0.25">
      <c r="B34" s="132" t="s">
        <v>76</v>
      </c>
      <c r="C34" s="91" t="s">
        <v>71</v>
      </c>
      <c r="D34" s="91" t="s">
        <v>77</v>
      </c>
      <c r="E34" s="91" t="s">
        <v>78</v>
      </c>
      <c r="F34" s="104" t="s">
        <v>26</v>
      </c>
      <c r="G34" s="107" t="s">
        <v>27</v>
      </c>
      <c r="H34" s="133" t="s">
        <v>43</v>
      </c>
      <c r="I34" s="118" t="s">
        <v>86</v>
      </c>
      <c r="J34" s="122" t="s">
        <v>46</v>
      </c>
      <c r="K34" s="128" t="s">
        <v>47</v>
      </c>
      <c r="Y34"/>
    </row>
    <row r="35" spans="1:25" s="14" customFormat="1" x14ac:dyDescent="0.25">
      <c r="A35" s="71"/>
      <c r="B35" s="65" t="s">
        <v>51</v>
      </c>
      <c r="C35" s="60">
        <v>38353</v>
      </c>
      <c r="D35" s="59">
        <v>25</v>
      </c>
      <c r="E35" s="241">
        <f>K35/-I35</f>
        <v>16.000057814654248</v>
      </c>
      <c r="F35" s="221">
        <v>1245359</v>
      </c>
      <c r="G35" s="222">
        <v>398512</v>
      </c>
      <c r="H35" s="223">
        <v>846847</v>
      </c>
      <c r="I35" s="224">
        <f>F35/D35*-1</f>
        <v>-49814.36</v>
      </c>
      <c r="J35" s="225">
        <f>G35-I35</f>
        <v>448326.36</v>
      </c>
      <c r="K35" s="226">
        <f>F35-J35</f>
        <v>797032.64</v>
      </c>
      <c r="L35" s="42"/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1:25" x14ac:dyDescent="0.25">
      <c r="B36" s="64" t="s">
        <v>48</v>
      </c>
      <c r="C36" s="45">
        <v>42005</v>
      </c>
      <c r="D36" s="44">
        <v>15</v>
      </c>
      <c r="E36" s="241">
        <f t="shared" ref="E36:E40" si="30">K36/-I36</f>
        <v>12.850184044465013</v>
      </c>
      <c r="F36" s="221">
        <v>611537</v>
      </c>
      <c r="G36" s="222">
        <v>46877</v>
      </c>
      <c r="H36" s="223">
        <v>554861</v>
      </c>
      <c r="I36" s="224">
        <f t="shared" ref="I36:I40" si="31">F36/D36*-1</f>
        <v>-40769.133333333331</v>
      </c>
      <c r="J36" s="225">
        <f t="shared" ref="J36:J40" si="32">G36-I36</f>
        <v>87646.133333333331</v>
      </c>
      <c r="K36" s="226">
        <f t="shared" ref="K36:K40" si="33">F36-J36</f>
        <v>523890.8666666667</v>
      </c>
      <c r="L36" s="42"/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1:25" x14ac:dyDescent="0.25">
      <c r="B37" s="64" t="s">
        <v>49</v>
      </c>
      <c r="C37" s="45">
        <v>42005</v>
      </c>
      <c r="D37" s="44">
        <v>10</v>
      </c>
      <c r="E37" s="241">
        <f t="shared" si="30"/>
        <v>7.8998885491157305</v>
      </c>
      <c r="F37" s="221">
        <v>504258</v>
      </c>
      <c r="G37" s="222">
        <v>55474</v>
      </c>
      <c r="H37" s="223">
        <v>458583</v>
      </c>
      <c r="I37" s="224">
        <f t="shared" si="31"/>
        <v>-50425.8</v>
      </c>
      <c r="J37" s="225">
        <f t="shared" si="32"/>
        <v>105899.8</v>
      </c>
      <c r="K37" s="226">
        <f t="shared" si="33"/>
        <v>398358.2</v>
      </c>
      <c r="L37" s="42"/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1:25" x14ac:dyDescent="0.25">
      <c r="B38" s="64" t="s">
        <v>52</v>
      </c>
      <c r="C38" s="45">
        <v>43100</v>
      </c>
      <c r="D38" s="44">
        <v>10</v>
      </c>
      <c r="E38" s="241">
        <f t="shared" si="30"/>
        <v>7.1544325716940493</v>
      </c>
      <c r="F38" s="221">
        <v>94708</v>
      </c>
      <c r="G38" s="222">
        <v>17479</v>
      </c>
      <c r="H38" s="223">
        <f>F38+I38*(D38-E38)</f>
        <v>67758.200000000012</v>
      </c>
      <c r="I38" s="224">
        <f t="shared" si="31"/>
        <v>-9470.7999999999993</v>
      </c>
      <c r="J38" s="225">
        <f t="shared" si="32"/>
        <v>26949.8</v>
      </c>
      <c r="K38" s="226">
        <f t="shared" si="33"/>
        <v>67758.2</v>
      </c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1:25" x14ac:dyDescent="0.25">
      <c r="B39" s="64" t="s">
        <v>73</v>
      </c>
      <c r="C39" s="45">
        <v>43009</v>
      </c>
      <c r="D39" s="44">
        <v>50</v>
      </c>
      <c r="E39" s="241">
        <f t="shared" si="30"/>
        <v>48.66667213470604</v>
      </c>
      <c r="F39" s="221">
        <v>2621293</v>
      </c>
      <c r="G39" s="222">
        <v>17475</v>
      </c>
      <c r="H39" s="223">
        <f>F39+I39*(D39-E39)</f>
        <v>2551392.14</v>
      </c>
      <c r="I39" s="224">
        <f t="shared" si="31"/>
        <v>-52425.86</v>
      </c>
      <c r="J39" s="225">
        <f t="shared" si="32"/>
        <v>69900.86</v>
      </c>
      <c r="K39" s="226">
        <f t="shared" si="33"/>
        <v>2551392.14</v>
      </c>
      <c r="L39" s="42"/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1:25" x14ac:dyDescent="0.25">
      <c r="B40" s="64" t="s">
        <v>54</v>
      </c>
      <c r="C40" s="45">
        <v>43281</v>
      </c>
      <c r="D40" s="44">
        <v>10</v>
      </c>
      <c r="E40" s="241">
        <f t="shared" si="30"/>
        <v>8.6666493822999424</v>
      </c>
      <c r="F40" s="221">
        <v>154282</v>
      </c>
      <c r="G40" s="222">
        <v>5143</v>
      </c>
      <c r="H40" s="223">
        <f>F40+I40*(D40-E40)</f>
        <v>133710.79999999996</v>
      </c>
      <c r="I40" s="224">
        <f t="shared" si="31"/>
        <v>-15428.2</v>
      </c>
      <c r="J40" s="225">
        <f t="shared" si="32"/>
        <v>20571.2</v>
      </c>
      <c r="K40" s="226">
        <f t="shared" si="33"/>
        <v>133710.79999999999</v>
      </c>
      <c r="L40" s="42"/>
      <c r="M40" s="39"/>
      <c r="N40" s="42"/>
      <c r="O40" s="92"/>
      <c r="P40" s="42"/>
      <c r="Q40" s="39"/>
      <c r="R40" s="42"/>
      <c r="S40" s="39"/>
      <c r="T40" s="42"/>
      <c r="U40" s="39"/>
      <c r="V40" s="42"/>
      <c r="Y40"/>
    </row>
    <row r="41" spans="1:25" x14ac:dyDescent="0.25">
      <c r="B41" s="51"/>
      <c r="C41" s="52"/>
      <c r="D41" s="52"/>
      <c r="E41" s="32"/>
      <c r="F41" s="227">
        <f t="shared" ref="F41:K41" si="34">SUM(F36:F40)</f>
        <v>3986078</v>
      </c>
      <c r="G41" s="228">
        <f t="shared" si="34"/>
        <v>142448</v>
      </c>
      <c r="H41" s="229">
        <f t="shared" si="34"/>
        <v>3766305.1399999997</v>
      </c>
      <c r="I41" s="230">
        <f t="shared" si="34"/>
        <v>-168519.79333333333</v>
      </c>
      <c r="J41" s="231">
        <f t="shared" si="34"/>
        <v>310967.79333333333</v>
      </c>
      <c r="K41" s="232">
        <f t="shared" si="34"/>
        <v>3675110.2066666665</v>
      </c>
      <c r="Y41"/>
    </row>
    <row r="42" spans="1:25" x14ac:dyDescent="0.25">
      <c r="B42" s="37"/>
      <c r="C42" s="38"/>
      <c r="D42" s="38"/>
      <c r="F42" s="233"/>
      <c r="G42" s="234"/>
      <c r="H42" s="234"/>
      <c r="I42" s="234"/>
      <c r="J42" s="235"/>
      <c r="K42" s="235"/>
      <c r="Y42"/>
    </row>
    <row r="43" spans="1:25" x14ac:dyDescent="0.25">
      <c r="B43" s="12"/>
      <c r="C43" s="11"/>
      <c r="D43" s="11"/>
      <c r="F43" s="233"/>
      <c r="G43" s="234"/>
      <c r="H43" s="234"/>
      <c r="I43" s="234"/>
      <c r="J43" s="235"/>
      <c r="K43" s="235"/>
      <c r="Y43"/>
    </row>
    <row r="44" spans="1:25" x14ac:dyDescent="0.25">
      <c r="B44" s="54" t="s">
        <v>55</v>
      </c>
      <c r="C44" s="55"/>
      <c r="D44" s="55"/>
      <c r="E44" s="56"/>
      <c r="F44" s="236">
        <f t="shared" ref="F44:K44" si="35">I30+F41</f>
        <v>47969301.000000015</v>
      </c>
      <c r="G44" s="237">
        <f t="shared" si="35"/>
        <v>2025621.0000000005</v>
      </c>
      <c r="H44" s="237">
        <f t="shared" si="35"/>
        <v>45866355.139999993</v>
      </c>
      <c r="I44" s="237">
        <f t="shared" si="35"/>
        <v>-862869.91962696612</v>
      </c>
      <c r="J44" s="238">
        <f t="shared" si="35"/>
        <v>2888490.9196269657</v>
      </c>
      <c r="K44" s="238">
        <f t="shared" si="35"/>
        <v>45080810.080373026</v>
      </c>
      <c r="Y44"/>
    </row>
    <row r="48" spans="1:25" x14ac:dyDescent="0.25">
      <c r="B48" t="s">
        <v>135</v>
      </c>
    </row>
    <row r="49" spans="2:25" x14ac:dyDescent="0.25">
      <c r="B49" s="242" t="s">
        <v>134</v>
      </c>
      <c r="C49" s="243">
        <v>42278</v>
      </c>
      <c r="D49" s="244">
        <v>10</v>
      </c>
      <c r="E49" s="245">
        <f t="shared" ref="E49" si="36">K49/-I49</f>
        <v>7.7479548170708199</v>
      </c>
      <c r="F49" s="246">
        <v>648475</v>
      </c>
      <c r="G49" s="247">
        <v>81192</v>
      </c>
      <c r="H49" s="248">
        <v>502436</v>
      </c>
      <c r="I49" s="249">
        <f t="shared" ref="I49" si="37">F49/D49*-1</f>
        <v>-64847.5</v>
      </c>
      <c r="J49" s="250">
        <f t="shared" ref="J49" si="38">G49-I49</f>
        <v>146039.5</v>
      </c>
      <c r="K49" s="251">
        <f t="shared" ref="K49" si="39">F49-J49</f>
        <v>502435.5</v>
      </c>
      <c r="W49"/>
      <c r="X49"/>
      <c r="Y49"/>
    </row>
    <row r="50" spans="2:25" x14ac:dyDescent="0.25">
      <c r="I50" s="40"/>
      <c r="J50" s="40"/>
      <c r="W50"/>
      <c r="X50"/>
      <c r="Y50"/>
    </row>
    <row r="51" spans="2:25" x14ac:dyDescent="0.25">
      <c r="B51" t="s">
        <v>57</v>
      </c>
      <c r="I51" s="40"/>
      <c r="J51" s="40"/>
      <c r="W51"/>
      <c r="X51"/>
      <c r="Y51"/>
    </row>
    <row r="52" spans="2:25" x14ac:dyDescent="0.25">
      <c r="C52" t="s">
        <v>59</v>
      </c>
      <c r="I52" s="40"/>
      <c r="J52" s="40"/>
      <c r="W52"/>
      <c r="X52"/>
      <c r="Y52"/>
    </row>
    <row r="53" spans="2:25" x14ac:dyDescent="0.25">
      <c r="C53" t="s">
        <v>56</v>
      </c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C55" t="s">
        <v>58</v>
      </c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I60" s="40"/>
      <c r="J60" s="40"/>
      <c r="W60"/>
      <c r="X60"/>
      <c r="Y60"/>
    </row>
    <row r="61" spans="2:25" x14ac:dyDescent="0.25">
      <c r="I61" s="40"/>
      <c r="J61" s="40"/>
      <c r="W61"/>
      <c r="X61"/>
      <c r="Y61"/>
    </row>
    <row r="62" spans="2:25" x14ac:dyDescent="0.25">
      <c r="I62" s="40"/>
      <c r="J62" s="40"/>
      <c r="W62"/>
      <c r="X62"/>
      <c r="Y62"/>
    </row>
    <row r="63" spans="2:25" x14ac:dyDescent="0.25">
      <c r="I63" s="40"/>
      <c r="J63" s="40"/>
      <c r="W63"/>
      <c r="X63"/>
      <c r="Y63"/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9832-CFA5-481E-A80F-808258494612}">
  <sheetPr>
    <pageSetUpPr fitToPage="1"/>
  </sheetPr>
  <dimension ref="A1:AA60"/>
  <sheetViews>
    <sheetView showGridLines="0" workbookViewId="0">
      <selection activeCell="B13" sqref="B13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252">
        <v>43983223</v>
      </c>
      <c r="C5" s="253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252">
        <v>1883173</v>
      </c>
      <c r="C6" s="253"/>
      <c r="D6" s="16"/>
      <c r="F6" s="8"/>
      <c r="G6" s="8"/>
    </row>
    <row r="7" spans="1:27" x14ac:dyDescent="0.25">
      <c r="A7" s="100" t="s">
        <v>75</v>
      </c>
      <c r="B7" s="254">
        <v>2018</v>
      </c>
      <c r="C7" s="255"/>
    </row>
    <row r="8" spans="1:27" x14ac:dyDescent="0.25">
      <c r="A8" s="101" t="s">
        <v>37</v>
      </c>
      <c r="B8" s="256">
        <v>43465</v>
      </c>
      <c r="C8" s="257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108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1937</v>
      </c>
      <c r="C11" s="136">
        <v>0.3</v>
      </c>
      <c r="D11" s="135">
        <v>200</v>
      </c>
      <c r="E11" s="194">
        <f>IF(D11-(2001-B11)&lt;0,0,D11-(2001-B11))</f>
        <v>136</v>
      </c>
      <c r="F11" s="135">
        <f t="shared" ref="F11:F26" si="0">IF(D11-($B$7-B11)&gt;0,D11-($B$7-B11),0)</f>
        <v>119</v>
      </c>
      <c r="G11" s="137">
        <f t="shared" ref="G11:G26" si="1">F11/SUM($F$11:$F$26)*C11</f>
        <v>8.8148148148148156E-2</v>
      </c>
      <c r="H11" s="138">
        <f t="shared" ref="H11:H26" si="2">G11/$G$27</f>
        <v>0.62227645110685037</v>
      </c>
      <c r="I11" s="105">
        <f>$B$5*H11</f>
        <v>27369723.916681197</v>
      </c>
      <c r="J11" s="108">
        <f t="shared" ref="J11:J26" si="3">H11*$B$6</f>
        <v>1171854.2112602408</v>
      </c>
      <c r="K11" s="113">
        <f t="shared" ref="K11:K26" si="4">I11-J11</f>
        <v>26197869.705420956</v>
      </c>
      <c r="L11" s="119">
        <f>IFERROR(I11/E11*-1,0)</f>
        <v>-201247.96997559702</v>
      </c>
      <c r="M11" s="123">
        <f>J11-L11</f>
        <v>1373102.1812358378</v>
      </c>
      <c r="N11" s="129">
        <f>K11+L11</f>
        <v>25996621.735445358</v>
      </c>
      <c r="O11" s="94">
        <f t="shared" ref="O11:O26" si="5">L11*D11*-1</f>
        <v>40249593.995119408</v>
      </c>
      <c r="P11" s="144">
        <f t="shared" ref="P11:P25" si="6">ROUND(C11/$C$27,3)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1937</v>
      </c>
      <c r="C12" s="136">
        <v>0.19</v>
      </c>
      <c r="D12" s="135">
        <v>150</v>
      </c>
      <c r="E12" s="194">
        <f t="shared" ref="E12:E26" si="7">IF(D12-(2001-B12)&lt;0,0,D12-(2001-B12))</f>
        <v>86</v>
      </c>
      <c r="F12" s="135">
        <f t="shared" si="0"/>
        <v>69</v>
      </c>
      <c r="G12" s="137">
        <f t="shared" si="1"/>
        <v>3.2370370370370369E-2</v>
      </c>
      <c r="H12" s="138">
        <f t="shared" si="2"/>
        <v>0.22851664633083493</v>
      </c>
      <c r="I12" s="105">
        <f t="shared" ref="I12:I26" si="8">$B$5*H12</f>
        <v>10050898.614781244</v>
      </c>
      <c r="J12" s="108">
        <f t="shared" si="3"/>
        <v>430336.37842077739</v>
      </c>
      <c r="K12" s="113">
        <f t="shared" si="4"/>
        <v>9620562.2363604661</v>
      </c>
      <c r="L12" s="119">
        <f t="shared" ref="L12:L26" si="9">IFERROR(I12/E12*-1,0)</f>
        <v>-116870.9141253633</v>
      </c>
      <c r="M12" s="123">
        <f t="shared" ref="M12:M26" si="10">J12-L12</f>
        <v>547207.29254614073</v>
      </c>
      <c r="N12" s="129">
        <f t="shared" ref="N12:N26" si="11">K12+L12</f>
        <v>9503691.3222351037</v>
      </c>
      <c r="O12" s="94">
        <f t="shared" si="5"/>
        <v>17530637.118804496</v>
      </c>
      <c r="P12" s="144">
        <f t="shared" si="6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1992</v>
      </c>
      <c r="C13" s="136">
        <v>0.02</v>
      </c>
      <c r="D13" s="135">
        <v>50</v>
      </c>
      <c r="E13" s="194">
        <f t="shared" si="7"/>
        <v>41</v>
      </c>
      <c r="F13" s="135">
        <f t="shared" si="0"/>
        <v>24</v>
      </c>
      <c r="G13" s="137">
        <f t="shared" si="1"/>
        <v>1.1851851851851852E-3</v>
      </c>
      <c r="H13" s="138">
        <f t="shared" si="2"/>
        <v>8.3667421997559704E-3</v>
      </c>
      <c r="I13" s="105">
        <f t="shared" si="8"/>
        <v>367996.28795537737</v>
      </c>
      <c r="J13" s="108">
        <f t="shared" si="3"/>
        <v>15756.023008541049</v>
      </c>
      <c r="K13" s="113">
        <f t="shared" si="4"/>
        <v>352240.26494683634</v>
      </c>
      <c r="L13" s="119">
        <f t="shared" si="9"/>
        <v>-8975.5192184238385</v>
      </c>
      <c r="M13" s="123">
        <f t="shared" si="10"/>
        <v>24731.542226964888</v>
      </c>
      <c r="N13" s="129">
        <f t="shared" si="11"/>
        <v>343264.74572841253</v>
      </c>
      <c r="O13" s="94">
        <f t="shared" si="5"/>
        <v>448775.9609211919</v>
      </c>
      <c r="P13" s="144">
        <f t="shared" si="6"/>
        <v>2.1000000000000001E-2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1992</v>
      </c>
      <c r="C15" s="136">
        <v>0.03</v>
      </c>
      <c r="D15" s="135">
        <v>50</v>
      </c>
      <c r="E15" s="194">
        <f t="shared" si="7"/>
        <v>41</v>
      </c>
      <c r="F15" s="135">
        <f t="shared" si="0"/>
        <v>24</v>
      </c>
      <c r="G15" s="137">
        <f t="shared" si="1"/>
        <v>1.7777777777777779E-3</v>
      </c>
      <c r="H15" s="138">
        <f t="shared" si="2"/>
        <v>1.2550113299633956E-2</v>
      </c>
      <c r="I15" s="105">
        <f t="shared" si="8"/>
        <v>551994.43193306611</v>
      </c>
      <c r="J15" s="108">
        <f t="shared" si="3"/>
        <v>23634.034512811577</v>
      </c>
      <c r="K15" s="113">
        <f t="shared" si="4"/>
        <v>528360.39742025454</v>
      </c>
      <c r="L15" s="119">
        <f t="shared" si="9"/>
        <v>-13463.278827635759</v>
      </c>
      <c r="M15" s="123">
        <f t="shared" si="10"/>
        <v>37097.313340447334</v>
      </c>
      <c r="N15" s="129">
        <f t="shared" si="11"/>
        <v>514897.11859261879</v>
      </c>
      <c r="O15" s="94">
        <f t="shared" si="5"/>
        <v>673163.94138178788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1992</v>
      </c>
      <c r="C16" s="136">
        <v>0.03</v>
      </c>
      <c r="D16" s="135">
        <v>40</v>
      </c>
      <c r="E16" s="194">
        <f t="shared" si="7"/>
        <v>31</v>
      </c>
      <c r="F16" s="135">
        <f t="shared" si="0"/>
        <v>14</v>
      </c>
      <c r="G16" s="137">
        <f t="shared" si="1"/>
        <v>1.0370370370370368E-3</v>
      </c>
      <c r="H16" s="138">
        <f t="shared" si="2"/>
        <v>7.3208994247864721E-3</v>
      </c>
      <c r="I16" s="105">
        <f t="shared" si="8"/>
        <v>321996.75196095515</v>
      </c>
      <c r="J16" s="108">
        <f t="shared" si="3"/>
        <v>13786.520132473415</v>
      </c>
      <c r="K16" s="113">
        <f t="shared" si="4"/>
        <v>308210.23182848172</v>
      </c>
      <c r="L16" s="119">
        <f t="shared" si="9"/>
        <v>-10386.991998740488</v>
      </c>
      <c r="M16" s="123">
        <f t="shared" si="10"/>
        <v>24173.512131213902</v>
      </c>
      <c r="N16" s="129">
        <f t="shared" si="11"/>
        <v>297823.23982974124</v>
      </c>
      <c r="O16" s="94">
        <f t="shared" si="5"/>
        <v>415479.67994961952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1992</v>
      </c>
      <c r="C17" s="192">
        <v>0.06</v>
      </c>
      <c r="D17" s="135">
        <v>40</v>
      </c>
      <c r="E17" s="194">
        <f t="shared" si="7"/>
        <v>31</v>
      </c>
      <c r="F17" s="135">
        <f t="shared" si="0"/>
        <v>14</v>
      </c>
      <c r="G17" s="137">
        <f t="shared" si="1"/>
        <v>2.0740740740740737E-3</v>
      </c>
      <c r="H17" s="138">
        <f t="shared" si="2"/>
        <v>1.4641798849572944E-2</v>
      </c>
      <c r="I17" s="105">
        <f t="shared" si="8"/>
        <v>643993.50392191031</v>
      </c>
      <c r="J17" s="108">
        <f t="shared" si="3"/>
        <v>27573.040264946831</v>
      </c>
      <c r="K17" s="113">
        <f t="shared" si="4"/>
        <v>616420.46365696343</v>
      </c>
      <c r="L17" s="119">
        <f t="shared" si="9"/>
        <v>-20773.983997480977</v>
      </c>
      <c r="M17" s="123">
        <f t="shared" si="10"/>
        <v>48347.024262427803</v>
      </c>
      <c r="N17" s="129">
        <f t="shared" si="11"/>
        <v>595646.47965948249</v>
      </c>
      <c r="O17" s="94">
        <f t="shared" si="5"/>
        <v>830959.35989923903</v>
      </c>
      <c r="P17" s="144">
        <f t="shared" si="6"/>
        <v>6.3E-2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1992</v>
      </c>
      <c r="C18" s="136">
        <v>0</v>
      </c>
      <c r="D18" s="135">
        <v>25</v>
      </c>
      <c r="E18" s="194">
        <f t="shared" si="7"/>
        <v>16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1992</v>
      </c>
      <c r="C19" s="136">
        <v>0.05</v>
      </c>
      <c r="D19" s="135">
        <v>50</v>
      </c>
      <c r="E19" s="194">
        <f t="shared" si="7"/>
        <v>41</v>
      </c>
      <c r="F19" s="135">
        <f t="shared" si="0"/>
        <v>24</v>
      </c>
      <c r="G19" s="137">
        <f t="shared" si="1"/>
        <v>2.9629629629629632E-3</v>
      </c>
      <c r="H19" s="138">
        <f t="shared" si="2"/>
        <v>2.0916855499389927E-2</v>
      </c>
      <c r="I19" s="105">
        <f t="shared" si="8"/>
        <v>919990.71988844348</v>
      </c>
      <c r="J19" s="108">
        <f t="shared" si="3"/>
        <v>39390.057521352624</v>
      </c>
      <c r="K19" s="113">
        <f t="shared" si="4"/>
        <v>880600.66236709082</v>
      </c>
      <c r="L19" s="119">
        <f t="shared" si="9"/>
        <v>-22438.798046059597</v>
      </c>
      <c r="M19" s="123">
        <f t="shared" si="10"/>
        <v>61828.855567412218</v>
      </c>
      <c r="N19" s="129">
        <f t="shared" si="11"/>
        <v>858161.86432103126</v>
      </c>
      <c r="O19" s="94">
        <f t="shared" si="5"/>
        <v>1121939.90230298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1992</v>
      </c>
      <c r="C20" s="136">
        <v>0.03</v>
      </c>
      <c r="D20" s="135">
        <v>50</v>
      </c>
      <c r="E20" s="194">
        <f t="shared" si="7"/>
        <v>41</v>
      </c>
      <c r="F20" s="135">
        <f t="shared" si="0"/>
        <v>24</v>
      </c>
      <c r="G20" s="137">
        <f t="shared" si="1"/>
        <v>1.7777777777777779E-3</v>
      </c>
      <c r="H20" s="138">
        <f t="shared" si="2"/>
        <v>1.2550113299633956E-2</v>
      </c>
      <c r="I20" s="105">
        <f t="shared" si="8"/>
        <v>551994.43193306611</v>
      </c>
      <c r="J20" s="108">
        <f t="shared" si="3"/>
        <v>23634.034512811577</v>
      </c>
      <c r="K20" s="113">
        <f t="shared" si="4"/>
        <v>528360.39742025454</v>
      </c>
      <c r="L20" s="119">
        <f t="shared" si="9"/>
        <v>-13463.278827635759</v>
      </c>
      <c r="M20" s="123">
        <f t="shared" si="10"/>
        <v>37097.313340447334</v>
      </c>
      <c r="N20" s="129">
        <f t="shared" si="11"/>
        <v>514897.11859261879</v>
      </c>
      <c r="O20" s="94">
        <f t="shared" si="5"/>
        <v>673163.94138178788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1992</v>
      </c>
      <c r="C21" s="136">
        <v>0.03</v>
      </c>
      <c r="D21" s="135">
        <v>30</v>
      </c>
      <c r="E21" s="194">
        <f t="shared" si="7"/>
        <v>21</v>
      </c>
      <c r="F21" s="135">
        <f t="shared" si="0"/>
        <v>4</v>
      </c>
      <c r="G21" s="137">
        <f t="shared" si="1"/>
        <v>2.9629629629629629E-4</v>
      </c>
      <c r="H21" s="138">
        <f t="shared" si="2"/>
        <v>2.0916855499389926E-3</v>
      </c>
      <c r="I21" s="105">
        <f t="shared" si="8"/>
        <v>91999.071988844342</v>
      </c>
      <c r="J21" s="108">
        <f t="shared" si="3"/>
        <v>3939.0057521352624</v>
      </c>
      <c r="K21" s="113">
        <f t="shared" si="4"/>
        <v>88060.066236709084</v>
      </c>
      <c r="L21" s="119">
        <f t="shared" si="9"/>
        <v>-4380.9081899449684</v>
      </c>
      <c r="M21" s="123">
        <f t="shared" si="10"/>
        <v>8319.9139420802312</v>
      </c>
      <c r="N21" s="129">
        <f t="shared" si="11"/>
        <v>83679.158046764118</v>
      </c>
      <c r="O21" s="94">
        <f t="shared" si="5"/>
        <v>131427.24569834906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1.3333333333333333E-3</v>
      </c>
      <c r="H22" s="138">
        <f t="shared" si="2"/>
        <v>9.4125849747254669E-3</v>
      </c>
      <c r="I22" s="105">
        <f t="shared" si="8"/>
        <v>413995.82394979958</v>
      </c>
      <c r="J22" s="108">
        <f t="shared" si="3"/>
        <v>17725.52588460868</v>
      </c>
      <c r="K22" s="113">
        <f t="shared" si="4"/>
        <v>396270.2980651909</v>
      </c>
      <c r="L22" s="119">
        <f t="shared" si="9"/>
        <v>-9408.9959988590817</v>
      </c>
      <c r="M22" s="123">
        <f t="shared" si="10"/>
        <v>27134.521883467762</v>
      </c>
      <c r="N22" s="129">
        <f t="shared" si="11"/>
        <v>386861.30206633185</v>
      </c>
      <c r="O22" s="94">
        <f t="shared" si="5"/>
        <v>376359.8399543633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1992</v>
      </c>
      <c r="C23" s="192">
        <v>5.0000000000000001E-3</v>
      </c>
      <c r="D23" s="135">
        <v>50</v>
      </c>
      <c r="E23" s="194">
        <f t="shared" si="7"/>
        <v>41</v>
      </c>
      <c r="F23" s="135">
        <f t="shared" si="0"/>
        <v>24</v>
      </c>
      <c r="G23" s="137">
        <f t="shared" si="1"/>
        <v>2.9629629629629629E-4</v>
      </c>
      <c r="H23" s="138">
        <f t="shared" si="2"/>
        <v>2.0916855499389926E-3</v>
      </c>
      <c r="I23" s="105">
        <f t="shared" si="8"/>
        <v>91999.071988844342</v>
      </c>
      <c r="J23" s="108">
        <f t="shared" si="3"/>
        <v>3939.0057521352624</v>
      </c>
      <c r="K23" s="113">
        <f t="shared" si="4"/>
        <v>88060.066236709084</v>
      </c>
      <c r="L23" s="119">
        <f t="shared" si="9"/>
        <v>-2243.8798046059596</v>
      </c>
      <c r="M23" s="123">
        <f t="shared" si="10"/>
        <v>6182.885556741222</v>
      </c>
      <c r="N23" s="129">
        <f t="shared" si="11"/>
        <v>85816.186432103132</v>
      </c>
      <c r="O23" s="94">
        <f t="shared" si="5"/>
        <v>112193.99023029798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1992</v>
      </c>
      <c r="C24" s="136">
        <v>0.02</v>
      </c>
      <c r="D24" s="135">
        <v>40</v>
      </c>
      <c r="E24" s="194">
        <f t="shared" si="7"/>
        <v>31</v>
      </c>
      <c r="F24" s="135">
        <f t="shared" si="0"/>
        <v>14</v>
      </c>
      <c r="G24" s="137">
        <f t="shared" si="1"/>
        <v>6.91358024691358E-4</v>
      </c>
      <c r="H24" s="138">
        <f t="shared" si="2"/>
        <v>4.8805996165243153E-3</v>
      </c>
      <c r="I24" s="105">
        <f t="shared" si="8"/>
        <v>214664.50130730344</v>
      </c>
      <c r="J24" s="108">
        <f t="shared" si="3"/>
        <v>9191.0134216489441</v>
      </c>
      <c r="K24" s="113">
        <f t="shared" si="4"/>
        <v>205473.4878856545</v>
      </c>
      <c r="L24" s="119">
        <f t="shared" si="9"/>
        <v>-6924.6613324936588</v>
      </c>
      <c r="M24" s="123">
        <f t="shared" si="10"/>
        <v>16115.674754142603</v>
      </c>
      <c r="N24" s="129">
        <f t="shared" si="11"/>
        <v>198548.82655316085</v>
      </c>
      <c r="O24" s="94">
        <f t="shared" si="5"/>
        <v>276986.45329974638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1992</v>
      </c>
      <c r="C25" s="136">
        <v>0.01</v>
      </c>
      <c r="D25" s="135">
        <v>20</v>
      </c>
      <c r="E25" s="194">
        <f t="shared" si="7"/>
        <v>11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1992</v>
      </c>
      <c r="C26" s="140">
        <v>0.13</v>
      </c>
      <c r="D26" s="139">
        <v>50</v>
      </c>
      <c r="E26" s="194">
        <f t="shared" si="7"/>
        <v>41</v>
      </c>
      <c r="F26" s="139">
        <f t="shared" si="0"/>
        <v>24</v>
      </c>
      <c r="G26" s="141">
        <f t="shared" si="1"/>
        <v>7.7037037037037039E-3</v>
      </c>
      <c r="H26" s="142">
        <f t="shared" si="2"/>
        <v>5.4383824298413805E-2</v>
      </c>
      <c r="I26" s="106">
        <f t="shared" si="8"/>
        <v>2391975.8717099531</v>
      </c>
      <c r="J26" s="109">
        <f t="shared" si="3"/>
        <v>102414.14955551682</v>
      </c>
      <c r="K26" s="114">
        <f t="shared" si="4"/>
        <v>2289561.7221544362</v>
      </c>
      <c r="L26" s="119">
        <f t="shared" si="9"/>
        <v>-58340.874919754955</v>
      </c>
      <c r="M26" s="124">
        <f t="shared" si="10"/>
        <v>160755.02447527178</v>
      </c>
      <c r="N26" s="129">
        <f t="shared" si="11"/>
        <v>2231220.8472346812</v>
      </c>
      <c r="O26" s="94">
        <f t="shared" si="5"/>
        <v>2917043.7459877478</v>
      </c>
      <c r="P26" s="144">
        <f>1-SUM(P11:P25)</f>
        <v>0.13899999999999968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95">
        <f t="shared" ref="E27:Q27" si="12">SUM(E11:E26)</f>
        <v>653</v>
      </c>
      <c r="F27" s="182">
        <f t="shared" si="12"/>
        <v>405</v>
      </c>
      <c r="G27" s="183">
        <f t="shared" si="12"/>
        <v>0.14165432098765432</v>
      </c>
      <c r="H27" s="180">
        <f t="shared" si="12"/>
        <v>1</v>
      </c>
      <c r="I27" s="105">
        <f t="shared" si="12"/>
        <v>43983223</v>
      </c>
      <c r="J27" s="108">
        <f t="shared" si="12"/>
        <v>1883173.0000000002</v>
      </c>
      <c r="K27" s="115">
        <f t="shared" si="12"/>
        <v>42100050.000000015</v>
      </c>
      <c r="L27" s="120">
        <f t="shared" si="12"/>
        <v>-488920.05526259536</v>
      </c>
      <c r="M27" s="125">
        <f t="shared" si="12"/>
        <v>2372093.0552625959</v>
      </c>
      <c r="N27" s="131">
        <f t="shared" si="12"/>
        <v>41611129.944737405</v>
      </c>
      <c r="O27" s="97">
        <f t="shared" si="12"/>
        <v>65757725.17493102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1982.375</v>
      </c>
      <c r="C28" s="185">
        <f t="shared" si="13"/>
        <v>5.9687500000000018E-2</v>
      </c>
      <c r="D28" s="186">
        <f t="shared" si="13"/>
        <v>59.0625</v>
      </c>
      <c r="E28" s="196">
        <f t="shared" si="13"/>
        <v>40.8125</v>
      </c>
      <c r="F28" s="186">
        <f t="shared" si="13"/>
        <v>25.3125</v>
      </c>
      <c r="G28" s="187">
        <f t="shared" si="13"/>
        <v>8.853395061728395E-3</v>
      </c>
      <c r="H28" s="185">
        <f t="shared" si="13"/>
        <v>6.25E-2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1962.2617801047115</v>
      </c>
      <c r="C29" s="205">
        <f>SUMPRODUCT(C11:C26,D11:D26)/SUM(D11:D26)</f>
        <v>0.11624338624338625</v>
      </c>
      <c r="D29" s="198">
        <f>SUMPRODUCT(D11:D26,C11:C26)/SUM(C11:C26)</f>
        <v>115.02617801047118</v>
      </c>
      <c r="E29" s="199">
        <f>SUMPRODUCT(E11:E26,C11:C26)/SUM(C11:C26)</f>
        <v>76.476439790575895</v>
      </c>
      <c r="F29" s="198">
        <f>SUMPRODUCT(F11:F26,C11:C26)/SUM(C11:C26)</f>
        <v>60.073298429319344</v>
      </c>
      <c r="G29" s="189">
        <f>E29-F29</f>
        <v>16.403141361256552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49863135</v>
      </c>
      <c r="F42" s="57">
        <f t="shared" si="19"/>
        <v>2505325</v>
      </c>
      <c r="G42" s="57">
        <f t="shared" si="19"/>
        <v>47250342.775000013</v>
      </c>
      <c r="H42" s="57">
        <f t="shared" si="19"/>
        <v>-772101.70859592874</v>
      </c>
      <c r="I42" s="58">
        <f t="shared" si="19"/>
        <v>3277426.7085959292</v>
      </c>
      <c r="J42" s="58">
        <f t="shared" si="19"/>
        <v>46585708.291404068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9CCA-EA54-4BA2-AED4-3E90F4AF8D09}">
  <sheetPr>
    <pageSetUpPr fitToPage="1"/>
  </sheetPr>
  <dimension ref="A1:W62"/>
  <sheetViews>
    <sheetView showGridLines="0" zoomScale="90" zoomScaleNormal="90" workbookViewId="0">
      <selection sqref="A1:A4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258">
        <v>43983223</v>
      </c>
      <c r="C6" s="259"/>
      <c r="D6" s="16"/>
      <c r="E6" s="16"/>
      <c r="L6" s="95" t="s">
        <v>62</v>
      </c>
    </row>
    <row r="7" spans="1:21" x14ac:dyDescent="0.25">
      <c r="A7" s="7" t="s">
        <v>21</v>
      </c>
      <c r="B7" s="258">
        <v>1883173</v>
      </c>
      <c r="C7" s="259"/>
      <c r="D7" s="16"/>
      <c r="E7" s="16"/>
      <c r="F7" s="8"/>
      <c r="L7" s="95" t="s">
        <v>64</v>
      </c>
    </row>
    <row r="8" spans="1:21" x14ac:dyDescent="0.25">
      <c r="A8" s="7" t="s">
        <v>17</v>
      </c>
      <c r="B8" s="260">
        <f>-ROUND(G4,2)</f>
        <v>17.2</v>
      </c>
      <c r="C8" s="261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262">
        <v>0</v>
      </c>
      <c r="C9" s="263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 t="shared" si="8"/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F704-4DE6-46F0-813C-67173C123327}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258">
        <v>43983223</v>
      </c>
      <c r="C6" s="259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258">
        <v>1883173</v>
      </c>
      <c r="C7" s="259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260">
        <f>-ROUND(G3,2)</f>
        <v>17.2</v>
      </c>
      <c r="C8" s="261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262">
        <v>0</v>
      </c>
      <c r="C9" s="263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10" sqref="A10:B22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264"/>
      <c r="C3" s="264"/>
    </row>
    <row r="8" spans="1:7" x14ac:dyDescent="0.25">
      <c r="A8" t="s">
        <v>40</v>
      </c>
      <c r="B8" s="265" t="s">
        <v>40</v>
      </c>
      <c r="C8" s="266"/>
      <c r="D8" s="265" t="s">
        <v>41</v>
      </c>
      <c r="E8" s="266"/>
      <c r="F8" s="265" t="s">
        <v>42</v>
      </c>
      <c r="G8" s="266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3.Just. avskrivningsmodell</vt:lpstr>
      <vt:lpstr>4.Just. avskrivningsmodell (2)</vt:lpstr>
      <vt:lpstr>4.Just. avskrivningsmodell 2_tk</vt:lpstr>
      <vt:lpstr>5.Just. avskrivningsmodell (3)</vt:lpstr>
      <vt:lpstr>1.Avskrivningar med kommentarer</vt:lpstr>
      <vt:lpstr>2.Just. avskrivningar</vt:lpstr>
      <vt:lpstr>0.SABO riktvärden</vt:lpstr>
      <vt:lpstr>'1.Avskrivningar med kommentarer'!Print_Area</vt:lpstr>
      <vt:lpstr>'2.Just. avskrivningar'!Print_Area</vt:lpstr>
      <vt:lpstr>'3.Just. avskrivningsmodell'!Print_Area</vt:lpstr>
      <vt:lpstr>'4.Just. avskrivningsmodell (2)'!Print_Area</vt:lpstr>
      <vt:lpstr>'4.Just. avskrivningsmodell 2_tk'!Print_Area</vt:lpstr>
      <vt:lpstr>'5.Just. avskrivningsmodell (3)'!Print_Area</vt:lpstr>
    </vt:vector>
  </TitlesOfParts>
  <Company>Finnhammars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Rickard Uddenberg</cp:lastModifiedBy>
  <cp:lastPrinted>2018-12-14T14:03:52Z</cp:lastPrinted>
  <dcterms:created xsi:type="dcterms:W3CDTF">2014-10-26T16:45:10Z</dcterms:created>
  <dcterms:modified xsi:type="dcterms:W3CDTF">2019-04-26T12:42:52Z</dcterms:modified>
</cp:coreProperties>
</file>