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RAIN\EXTERNT - kund etc\BRF gemensam\Brf Ekoxen\Bokslut 2018\övergång K3\"/>
    </mc:Choice>
  </mc:AlternateContent>
  <bookViews>
    <workbookView xWindow="0" yWindow="0" windowWidth="28800" windowHeight="12435" tabRatio="897" firstSheet="1" activeTab="4"/>
  </bookViews>
  <sheets>
    <sheet name="3.Just. avskrivningsmodell" sheetId="12" r:id="rId1"/>
    <sheet name="4.Just. avskrivningsmodell (2)" sheetId="9" r:id="rId2"/>
    <sheet name="4.Just. avskrivningsmodell  (2" sheetId="15" r:id="rId3"/>
    <sheet name="5.Just. avskrivningsmodell (3)" sheetId="13" r:id="rId4"/>
    <sheet name="5.Just. avskrivning.mod. EL v6" sheetId="16" r:id="rId5"/>
    <sheet name="1.Avskrivningar med kommentarer" sheetId="6" r:id="rId6"/>
    <sheet name="2.Just. avskrivningar" sheetId="7" r:id="rId7"/>
    <sheet name="0.SABO riktvärden" sheetId="1" r:id="rId8"/>
  </sheets>
  <definedNames>
    <definedName name="_xlnm.Print_Area" localSheetId="5">'1.Avskrivningar med kommentarer'!$A:$L</definedName>
    <definedName name="_xlnm.Print_Area" localSheetId="6">'2.Just. avskrivningar'!$A:$M</definedName>
    <definedName name="_xlnm.Print_Area" localSheetId="0">'3.Just. avskrivningsmodell'!$A:$L</definedName>
    <definedName name="_xlnm.Print_Area" localSheetId="2">'4.Just. avskrivningsmodell  (2'!$B:$M</definedName>
    <definedName name="_xlnm.Print_Area" localSheetId="1">'4.Just. avskrivningsmodell (2)'!$A:$L</definedName>
    <definedName name="_xlnm.Print_Area" localSheetId="4">'5.Just. avskrivning.mod. EL v6'!$B:$O</definedName>
    <definedName name="_xlnm.Print_Area" localSheetId="3">'5.Just. avskrivningsmodell (3)'!$A:$L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6" l="1"/>
  <c r="M11" i="16" s="1"/>
  <c r="M26" i="16"/>
  <c r="C5" i="16"/>
  <c r="L26" i="16"/>
  <c r="G58" i="16"/>
  <c r="G54" i="16"/>
  <c r="G52" i="16"/>
  <c r="G50" i="16"/>
  <c r="G49" i="16"/>
  <c r="M43" i="16"/>
  <c r="M48" i="16"/>
  <c r="M56" i="16"/>
  <c r="M40" i="16"/>
  <c r="M32" i="16"/>
  <c r="L37" i="16"/>
  <c r="L32" i="16"/>
  <c r="K33" i="16"/>
  <c r="L33" i="16" s="1"/>
  <c r="K34" i="16"/>
  <c r="L34" i="16" s="1"/>
  <c r="K35" i="16"/>
  <c r="L35" i="16" s="1"/>
  <c r="K36" i="16"/>
  <c r="L36" i="16" s="1"/>
  <c r="K37" i="16"/>
  <c r="K38" i="16"/>
  <c r="L38" i="16" s="1"/>
  <c r="K32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11" i="16"/>
  <c r="F32" i="16"/>
  <c r="C29" i="16"/>
  <c r="G11" i="16"/>
  <c r="J33" i="16"/>
  <c r="J34" i="16"/>
  <c r="J35" i="16"/>
  <c r="J36" i="16"/>
  <c r="J37" i="16"/>
  <c r="J38" i="16"/>
  <c r="J32" i="16"/>
  <c r="I58" i="16"/>
  <c r="F38" i="16"/>
  <c r="J58" i="16" l="1"/>
  <c r="M38" i="16"/>
  <c r="K58" i="16"/>
  <c r="M37" i="16" l="1"/>
  <c r="F37" i="16"/>
  <c r="M36" i="16"/>
  <c r="F36" i="16"/>
  <c r="M35" i="16"/>
  <c r="F35" i="16"/>
  <c r="F34" i="16"/>
  <c r="M33" i="16"/>
  <c r="F33" i="16"/>
  <c r="F29" i="16"/>
  <c r="E29" i="16"/>
  <c r="F28" i="16"/>
  <c r="E28" i="16"/>
  <c r="C28" i="16"/>
  <c r="T27" i="16"/>
  <c r="E27" i="16"/>
  <c r="S25" i="16" s="1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28" i="6"/>
  <c r="S16" i="16" l="1"/>
  <c r="S22" i="16"/>
  <c r="S18" i="16"/>
  <c r="S24" i="16"/>
  <c r="S14" i="16"/>
  <c r="M34" i="16"/>
  <c r="S20" i="16"/>
  <c r="G29" i="16"/>
  <c r="S12" i="16"/>
  <c r="G28" i="16"/>
  <c r="L58" i="16"/>
  <c r="G27" i="16"/>
  <c r="S11" i="16"/>
  <c r="S13" i="16"/>
  <c r="S15" i="16"/>
  <c r="S17" i="16"/>
  <c r="S19" i="16"/>
  <c r="S21" i="16"/>
  <c r="S23" i="16"/>
  <c r="J49" i="15"/>
  <c r="K49" i="15" s="1"/>
  <c r="E49" i="15" s="1"/>
  <c r="I49" i="15"/>
  <c r="G41" i="15"/>
  <c r="F41" i="15"/>
  <c r="J40" i="15"/>
  <c r="K40" i="15" s="1"/>
  <c r="E40" i="15" s="1"/>
  <c r="I40" i="15"/>
  <c r="H40" i="15" s="1"/>
  <c r="I39" i="15"/>
  <c r="J39" i="15" s="1"/>
  <c r="K39" i="15" s="1"/>
  <c r="E39" i="15" s="1"/>
  <c r="H39" i="15" s="1"/>
  <c r="I38" i="15"/>
  <c r="J38" i="15" s="1"/>
  <c r="K38" i="15" s="1"/>
  <c r="E38" i="15" s="1"/>
  <c r="H38" i="15" s="1"/>
  <c r="H41" i="15" s="1"/>
  <c r="I37" i="15"/>
  <c r="J37" i="15" s="1"/>
  <c r="K37" i="15" s="1"/>
  <c r="E37" i="15" s="1"/>
  <c r="I36" i="15"/>
  <c r="I41" i="15" s="1"/>
  <c r="I35" i="15"/>
  <c r="J35" i="15" s="1"/>
  <c r="K35" i="15" s="1"/>
  <c r="E35" i="15" s="1"/>
  <c r="E32" i="15"/>
  <c r="D32" i="15"/>
  <c r="E31" i="15"/>
  <c r="D31" i="15"/>
  <c r="C31" i="15"/>
  <c r="Q30" i="15"/>
  <c r="D30" i="15"/>
  <c r="P27" i="15" s="1"/>
  <c r="F29" i="15"/>
  <c r="G29" i="15" s="1"/>
  <c r="P28" i="15"/>
  <c r="F28" i="15"/>
  <c r="F27" i="15"/>
  <c r="F26" i="15"/>
  <c r="G26" i="15" s="1"/>
  <c r="P25" i="15"/>
  <c r="F25" i="15"/>
  <c r="G25" i="15" s="1"/>
  <c r="P24" i="15"/>
  <c r="F24" i="15"/>
  <c r="G24" i="15" s="1"/>
  <c r="F23" i="15"/>
  <c r="G23" i="15" s="1"/>
  <c r="F22" i="15"/>
  <c r="G22" i="15" s="1"/>
  <c r="F21" i="15"/>
  <c r="G21" i="15" s="1"/>
  <c r="P20" i="15"/>
  <c r="F20" i="15"/>
  <c r="P19" i="15"/>
  <c r="F19" i="15"/>
  <c r="F18" i="15"/>
  <c r="G18" i="15" s="1"/>
  <c r="P17" i="15"/>
  <c r="F17" i="15"/>
  <c r="G17" i="15" s="1"/>
  <c r="P16" i="15"/>
  <c r="F16" i="15"/>
  <c r="G16" i="15" s="1"/>
  <c r="F15" i="15"/>
  <c r="G15" i="15" s="1"/>
  <c r="P14" i="15"/>
  <c r="F14" i="15"/>
  <c r="G14" i="15" s="1"/>
  <c r="C14" i="15"/>
  <c r="C32" i="15" s="1"/>
  <c r="F13" i="15"/>
  <c r="G19" i="15" s="1"/>
  <c r="P12" i="15"/>
  <c r="F12" i="15"/>
  <c r="F30" i="15" s="1"/>
  <c r="P11" i="15"/>
  <c r="F11" i="15"/>
  <c r="G11" i="15" s="1"/>
  <c r="M58" i="16" l="1"/>
  <c r="S26" i="16"/>
  <c r="S27" i="16" s="1"/>
  <c r="G12" i="15"/>
  <c r="P22" i="15"/>
  <c r="J36" i="15"/>
  <c r="F32" i="15"/>
  <c r="G13" i="15"/>
  <c r="P15" i="15"/>
  <c r="P23" i="15"/>
  <c r="P13" i="15"/>
  <c r="P18" i="15"/>
  <c r="P26" i="15"/>
  <c r="P21" i="15"/>
  <c r="G20" i="15"/>
  <c r="G28" i="15"/>
  <c r="G27" i="15"/>
  <c r="F31" i="15"/>
  <c r="P30" i="15" l="1"/>
  <c r="H13" i="15"/>
  <c r="H28" i="15"/>
  <c r="J41" i="15"/>
  <c r="K36" i="15"/>
  <c r="P29" i="15"/>
  <c r="G30" i="15"/>
  <c r="H20" i="15" s="1"/>
  <c r="G31" i="15"/>
  <c r="J20" i="15" l="1"/>
  <c r="I20" i="15"/>
  <c r="K41" i="15"/>
  <c r="E36" i="15"/>
  <c r="J28" i="15"/>
  <c r="I28" i="15"/>
  <c r="J13" i="15"/>
  <c r="I13" i="15"/>
  <c r="H22" i="15"/>
  <c r="H24" i="15"/>
  <c r="H11" i="15"/>
  <c r="H29" i="15"/>
  <c r="H15" i="15"/>
  <c r="H19" i="15"/>
  <c r="H16" i="15"/>
  <c r="H26" i="15"/>
  <c r="H14" i="15"/>
  <c r="H17" i="15"/>
  <c r="H18" i="15"/>
  <c r="H25" i="15"/>
  <c r="H21" i="15"/>
  <c r="H23" i="15"/>
  <c r="H27" i="15"/>
  <c r="H12" i="15"/>
  <c r="C29" i="13"/>
  <c r="C29" i="9"/>
  <c r="E13" i="13"/>
  <c r="E15" i="13"/>
  <c r="E16" i="13"/>
  <c r="E17" i="13"/>
  <c r="E18" i="13"/>
  <c r="E19" i="13"/>
  <c r="E20" i="13"/>
  <c r="E21" i="13"/>
  <c r="E23" i="13"/>
  <c r="E24" i="13"/>
  <c r="E25" i="13"/>
  <c r="E26" i="13"/>
  <c r="E11" i="13"/>
  <c r="E27" i="13" s="1"/>
  <c r="E12" i="13"/>
  <c r="E14" i="13"/>
  <c r="E22" i="13"/>
  <c r="E29" i="13"/>
  <c r="G29" i="13" s="1"/>
  <c r="F13" i="13"/>
  <c r="F15" i="13"/>
  <c r="F16" i="13"/>
  <c r="F17" i="13"/>
  <c r="F18" i="13"/>
  <c r="F19" i="13"/>
  <c r="F20" i="13"/>
  <c r="F21" i="13"/>
  <c r="F23" i="13"/>
  <c r="F24" i="13"/>
  <c r="F25" i="13"/>
  <c r="F26" i="13"/>
  <c r="F11" i="13"/>
  <c r="F12" i="13"/>
  <c r="G15" i="13" s="1"/>
  <c r="F14" i="13"/>
  <c r="F22" i="13"/>
  <c r="F29" i="13"/>
  <c r="G12" i="13"/>
  <c r="G19" i="13"/>
  <c r="G23" i="13"/>
  <c r="F39" i="13"/>
  <c r="E39" i="13"/>
  <c r="H38" i="13"/>
  <c r="I38" i="13"/>
  <c r="J38" i="13"/>
  <c r="D38" i="13"/>
  <c r="G38" i="13"/>
  <c r="H37" i="13"/>
  <c r="D37" i="13"/>
  <c r="H36" i="13"/>
  <c r="D36" i="13"/>
  <c r="H35" i="13"/>
  <c r="I35" i="13"/>
  <c r="J35" i="13"/>
  <c r="D35" i="13"/>
  <c r="H34" i="13"/>
  <c r="I34" i="13"/>
  <c r="J34" i="13"/>
  <c r="D34" i="13"/>
  <c r="H33" i="13"/>
  <c r="I33" i="13"/>
  <c r="J33" i="13"/>
  <c r="D33" i="13"/>
  <c r="H32" i="13"/>
  <c r="D32" i="13"/>
  <c r="D29" i="13"/>
  <c r="B29" i="13"/>
  <c r="D28" i="13"/>
  <c r="C28" i="13"/>
  <c r="B28" i="13"/>
  <c r="Q27" i="13"/>
  <c r="C27" i="13"/>
  <c r="P23" i="13"/>
  <c r="P24" i="13"/>
  <c r="P21" i="13"/>
  <c r="P19" i="13"/>
  <c r="P17" i="13"/>
  <c r="P15" i="13"/>
  <c r="P13" i="13"/>
  <c r="P11" i="13"/>
  <c r="D29" i="12"/>
  <c r="B29" i="12"/>
  <c r="D29" i="9"/>
  <c r="E14" i="7"/>
  <c r="F14" i="7"/>
  <c r="H14" i="7"/>
  <c r="I14" i="7"/>
  <c r="J14" i="7"/>
  <c r="E15" i="7"/>
  <c r="F15" i="7"/>
  <c r="H15" i="7"/>
  <c r="I15" i="7"/>
  <c r="J15" i="7"/>
  <c r="E16" i="7"/>
  <c r="F16" i="7"/>
  <c r="H16" i="7"/>
  <c r="I16" i="7"/>
  <c r="J16" i="7"/>
  <c r="E17" i="7"/>
  <c r="F17" i="7"/>
  <c r="H17" i="7"/>
  <c r="I17" i="7"/>
  <c r="J17" i="7"/>
  <c r="E18" i="7"/>
  <c r="F18" i="7"/>
  <c r="H18" i="7"/>
  <c r="I18" i="7"/>
  <c r="J18" i="7"/>
  <c r="E19" i="7"/>
  <c r="F19" i="7"/>
  <c r="H19" i="7"/>
  <c r="I19" i="7"/>
  <c r="J19" i="7"/>
  <c r="E20" i="7"/>
  <c r="F20" i="7"/>
  <c r="H20" i="7"/>
  <c r="I20" i="7"/>
  <c r="J20" i="7"/>
  <c r="E21" i="7"/>
  <c r="F21" i="7"/>
  <c r="H21" i="7"/>
  <c r="I21" i="7"/>
  <c r="J21" i="7"/>
  <c r="E22" i="7"/>
  <c r="F22" i="7"/>
  <c r="H22" i="7"/>
  <c r="I22" i="7"/>
  <c r="J22" i="7"/>
  <c r="E23" i="7"/>
  <c r="F23" i="7"/>
  <c r="H23" i="7"/>
  <c r="I23" i="7"/>
  <c r="J23" i="7"/>
  <c r="E24" i="7"/>
  <c r="F24" i="7"/>
  <c r="H24" i="7"/>
  <c r="I24" i="7"/>
  <c r="J24" i="7"/>
  <c r="E25" i="7"/>
  <c r="F25" i="7"/>
  <c r="H25" i="7"/>
  <c r="I25" i="7"/>
  <c r="J25" i="7"/>
  <c r="E26" i="7"/>
  <c r="F26" i="7"/>
  <c r="H26" i="7"/>
  <c r="I26" i="7"/>
  <c r="J26" i="7"/>
  <c r="E27" i="7"/>
  <c r="F27" i="7"/>
  <c r="H27" i="7"/>
  <c r="I27" i="7"/>
  <c r="J27" i="7"/>
  <c r="J28" i="7"/>
  <c r="H28" i="7"/>
  <c r="D28" i="7"/>
  <c r="E23" i="9"/>
  <c r="P27" i="9"/>
  <c r="B29" i="9"/>
  <c r="F39" i="12"/>
  <c r="E39" i="12"/>
  <c r="H38" i="12"/>
  <c r="I38" i="12"/>
  <c r="J38" i="12"/>
  <c r="D38" i="12"/>
  <c r="G38" i="12"/>
  <c r="H37" i="12"/>
  <c r="D37" i="12"/>
  <c r="H36" i="12"/>
  <c r="I36" i="12"/>
  <c r="J36" i="12"/>
  <c r="D36" i="12"/>
  <c r="G36" i="12"/>
  <c r="H35" i="12"/>
  <c r="I35" i="12"/>
  <c r="J35" i="12"/>
  <c r="D35" i="12"/>
  <c r="H34" i="12"/>
  <c r="I34" i="12"/>
  <c r="J34" i="12"/>
  <c r="D34" i="12"/>
  <c r="H33" i="12"/>
  <c r="I33" i="12"/>
  <c r="J33" i="12"/>
  <c r="D33" i="12"/>
  <c r="H32" i="12"/>
  <c r="I32" i="12"/>
  <c r="J32" i="12"/>
  <c r="D32" i="12"/>
  <c r="D28" i="12"/>
  <c r="C28" i="12"/>
  <c r="B28" i="12"/>
  <c r="C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29" i="12"/>
  <c r="F39" i="9"/>
  <c r="E39" i="9"/>
  <c r="H38" i="9"/>
  <c r="I38" i="9"/>
  <c r="J38" i="9"/>
  <c r="D38" i="9"/>
  <c r="G38" i="9"/>
  <c r="H37" i="9"/>
  <c r="D37" i="9"/>
  <c r="H36" i="9"/>
  <c r="I36" i="9"/>
  <c r="J36" i="9"/>
  <c r="D36" i="9"/>
  <c r="G36" i="9"/>
  <c r="H35" i="9"/>
  <c r="I35" i="9"/>
  <c r="J35" i="9"/>
  <c r="D35" i="9"/>
  <c r="H34" i="9"/>
  <c r="I34" i="9"/>
  <c r="J34" i="9"/>
  <c r="D34" i="9"/>
  <c r="H33" i="9"/>
  <c r="I33" i="9"/>
  <c r="J33" i="9"/>
  <c r="D33" i="9"/>
  <c r="H32" i="9"/>
  <c r="D32" i="9"/>
  <c r="D28" i="9"/>
  <c r="C28" i="9"/>
  <c r="B28" i="9"/>
  <c r="C27" i="9"/>
  <c r="O15" i="9"/>
  <c r="E26" i="9"/>
  <c r="E25" i="9"/>
  <c r="E24" i="9"/>
  <c r="E22" i="9"/>
  <c r="E21" i="9"/>
  <c r="E20" i="9"/>
  <c r="E19" i="9"/>
  <c r="E18" i="9"/>
  <c r="E17" i="9"/>
  <c r="E16" i="9"/>
  <c r="E15" i="9"/>
  <c r="E14" i="9"/>
  <c r="F16" i="9" s="1"/>
  <c r="E13" i="9"/>
  <c r="E12" i="9"/>
  <c r="E11" i="9"/>
  <c r="F50" i="7"/>
  <c r="E50" i="7"/>
  <c r="H49" i="7"/>
  <c r="I49" i="7"/>
  <c r="J49" i="7"/>
  <c r="D49" i="7"/>
  <c r="H48" i="7"/>
  <c r="D48" i="7"/>
  <c r="G48" i="7"/>
  <c r="H47" i="7"/>
  <c r="D47" i="7"/>
  <c r="H46" i="7"/>
  <c r="I46" i="7"/>
  <c r="J46" i="7"/>
  <c r="D46" i="7"/>
  <c r="H45" i="7"/>
  <c r="I45" i="7"/>
  <c r="J45" i="7"/>
  <c r="D45" i="7"/>
  <c r="H44" i="7"/>
  <c r="I44" i="7"/>
  <c r="J44" i="7"/>
  <c r="D44" i="7"/>
  <c r="H43" i="7"/>
  <c r="D43" i="7"/>
  <c r="G42" i="7"/>
  <c r="D42" i="7"/>
  <c r="G41" i="7"/>
  <c r="D41" i="7"/>
  <c r="G40" i="7"/>
  <c r="D40" i="7"/>
  <c r="G39" i="7"/>
  <c r="D39" i="7"/>
  <c r="G38" i="7"/>
  <c r="D38" i="7"/>
  <c r="G37" i="7"/>
  <c r="D37" i="7"/>
  <c r="G36" i="7"/>
  <c r="D36" i="7"/>
  <c r="G35" i="7"/>
  <c r="D35" i="7"/>
  <c r="G34" i="7"/>
  <c r="D34" i="7"/>
  <c r="G33" i="7"/>
  <c r="D33" i="7"/>
  <c r="B28" i="7"/>
  <c r="G16" i="7"/>
  <c r="G3" i="7"/>
  <c r="B8" i="7"/>
  <c r="G36" i="13"/>
  <c r="P12" i="13"/>
  <c r="P14" i="13"/>
  <c r="P16" i="13"/>
  <c r="P18" i="13"/>
  <c r="P20" i="13"/>
  <c r="P22" i="13"/>
  <c r="F28" i="13"/>
  <c r="P25" i="13"/>
  <c r="I36" i="13"/>
  <c r="J36" i="13"/>
  <c r="H39" i="13"/>
  <c r="G37" i="13"/>
  <c r="G39" i="13"/>
  <c r="I37" i="13"/>
  <c r="J37" i="13"/>
  <c r="P26" i="13"/>
  <c r="P27" i="13"/>
  <c r="I32" i="13"/>
  <c r="H39" i="12"/>
  <c r="G23" i="7"/>
  <c r="G27" i="7"/>
  <c r="G24" i="7"/>
  <c r="G47" i="7"/>
  <c r="G19" i="7"/>
  <c r="E28" i="7"/>
  <c r="G15" i="7"/>
  <c r="I47" i="7"/>
  <c r="J47" i="7"/>
  <c r="G49" i="7"/>
  <c r="G20" i="7"/>
  <c r="H50" i="7"/>
  <c r="O11" i="9"/>
  <c r="O22" i="9"/>
  <c r="O18" i="9"/>
  <c r="O14" i="9"/>
  <c r="O25" i="9"/>
  <c r="O21" i="9"/>
  <c r="O17" i="9"/>
  <c r="O13" i="9"/>
  <c r="O24" i="9"/>
  <c r="O20" i="9"/>
  <c r="O16" i="9"/>
  <c r="O12" i="9"/>
  <c r="O23" i="9"/>
  <c r="O19" i="9"/>
  <c r="F15" i="12"/>
  <c r="F12" i="12"/>
  <c r="F16" i="12"/>
  <c r="F20" i="12"/>
  <c r="F24" i="12"/>
  <c r="G37" i="12"/>
  <c r="F13" i="12"/>
  <c r="F17" i="12"/>
  <c r="F21" i="12"/>
  <c r="F25" i="12"/>
  <c r="G39" i="12"/>
  <c r="F14" i="12"/>
  <c r="F18" i="12"/>
  <c r="E28" i="12"/>
  <c r="I37" i="12"/>
  <c r="F22" i="12"/>
  <c r="F26" i="12"/>
  <c r="F11" i="12"/>
  <c r="F19" i="12"/>
  <c r="F23" i="12"/>
  <c r="G37" i="9"/>
  <c r="H39" i="9"/>
  <c r="G39" i="9"/>
  <c r="I37" i="9"/>
  <c r="J37" i="9"/>
  <c r="I32" i="9"/>
  <c r="E53" i="7"/>
  <c r="D25" i="7"/>
  <c r="L25" i="7"/>
  <c r="D21" i="7"/>
  <c r="L21" i="7"/>
  <c r="D17" i="7"/>
  <c r="L17" i="7"/>
  <c r="D27" i="7"/>
  <c r="D19" i="7"/>
  <c r="L19" i="7"/>
  <c r="D26" i="7"/>
  <c r="L26" i="7"/>
  <c r="D22" i="7"/>
  <c r="L22" i="7"/>
  <c r="D18" i="7"/>
  <c r="L18" i="7"/>
  <c r="D14" i="7"/>
  <c r="D23" i="7"/>
  <c r="L23" i="7"/>
  <c r="D15" i="7"/>
  <c r="L15" i="7"/>
  <c r="D24" i="7"/>
  <c r="L24" i="7"/>
  <c r="D20" i="7"/>
  <c r="L20" i="7"/>
  <c r="D16" i="7"/>
  <c r="G50" i="7"/>
  <c r="F28" i="7"/>
  <c r="F53" i="7"/>
  <c r="G14" i="7"/>
  <c r="I48" i="7"/>
  <c r="J48" i="7"/>
  <c r="G17" i="7"/>
  <c r="G21" i="7"/>
  <c r="G25" i="7"/>
  <c r="G18" i="7"/>
  <c r="G22" i="7"/>
  <c r="G26" i="7"/>
  <c r="I43" i="7"/>
  <c r="E18" i="6"/>
  <c r="H18" i="6"/>
  <c r="F18" i="6"/>
  <c r="I39" i="13"/>
  <c r="J32" i="13"/>
  <c r="J39" i="13"/>
  <c r="H53" i="7"/>
  <c r="L14" i="7"/>
  <c r="L27" i="7"/>
  <c r="L16" i="7"/>
  <c r="O26" i="9"/>
  <c r="O27" i="9"/>
  <c r="J37" i="12"/>
  <c r="J39" i="12"/>
  <c r="I39" i="12"/>
  <c r="F28" i="12"/>
  <c r="F27" i="12"/>
  <c r="G22" i="12"/>
  <c r="J32" i="9"/>
  <c r="J39" i="9"/>
  <c r="I39" i="9"/>
  <c r="G28" i="7"/>
  <c r="G53" i="7"/>
  <c r="I50" i="7"/>
  <c r="J43" i="7"/>
  <c r="J50" i="7"/>
  <c r="C28" i="7"/>
  <c r="G18" i="6"/>
  <c r="I18" i="6"/>
  <c r="J18" i="6"/>
  <c r="L28" i="7"/>
  <c r="I22" i="12"/>
  <c r="H22" i="12"/>
  <c r="G26" i="12"/>
  <c r="G14" i="12"/>
  <c r="G18" i="12"/>
  <c r="G11" i="12"/>
  <c r="G16" i="12"/>
  <c r="G13" i="12"/>
  <c r="G25" i="12"/>
  <c r="G20" i="12"/>
  <c r="G15" i="12"/>
  <c r="G12" i="12"/>
  <c r="G24" i="12"/>
  <c r="G17" i="12"/>
  <c r="G21" i="12"/>
  <c r="G23" i="12"/>
  <c r="G19" i="12"/>
  <c r="I28" i="7"/>
  <c r="I53" i="7"/>
  <c r="F50" i="6"/>
  <c r="E50" i="6"/>
  <c r="H49" i="6"/>
  <c r="I49" i="6"/>
  <c r="J49" i="6"/>
  <c r="D49" i="6"/>
  <c r="H48" i="6"/>
  <c r="D48" i="6"/>
  <c r="H47" i="6"/>
  <c r="D47" i="6"/>
  <c r="H46" i="6"/>
  <c r="I46" i="6"/>
  <c r="J46" i="6"/>
  <c r="D46" i="6"/>
  <c r="H45" i="6"/>
  <c r="I45" i="6"/>
  <c r="J45" i="6"/>
  <c r="D45" i="6"/>
  <c r="H44" i="6"/>
  <c r="I44" i="6"/>
  <c r="J44" i="6"/>
  <c r="D44" i="6"/>
  <c r="H43" i="6"/>
  <c r="D43" i="6"/>
  <c r="G42" i="6"/>
  <c r="D42" i="6"/>
  <c r="G41" i="6"/>
  <c r="D41" i="6"/>
  <c r="G40" i="6"/>
  <c r="D40" i="6"/>
  <c r="G39" i="6"/>
  <c r="D39" i="6"/>
  <c r="G38" i="6"/>
  <c r="D38" i="6"/>
  <c r="G37" i="6"/>
  <c r="D37" i="6"/>
  <c r="G36" i="6"/>
  <c r="D36" i="6"/>
  <c r="G35" i="6"/>
  <c r="D35" i="6"/>
  <c r="G34" i="6"/>
  <c r="D34" i="6"/>
  <c r="G33" i="6"/>
  <c r="D33" i="6"/>
  <c r="B28" i="6"/>
  <c r="F27" i="6"/>
  <c r="E27" i="6"/>
  <c r="H27" i="6"/>
  <c r="F26" i="6"/>
  <c r="E26" i="6"/>
  <c r="H26" i="6"/>
  <c r="F25" i="6"/>
  <c r="E25" i="6"/>
  <c r="H25" i="6"/>
  <c r="F24" i="6"/>
  <c r="E24" i="6"/>
  <c r="H24" i="6"/>
  <c r="F23" i="6"/>
  <c r="E23" i="6"/>
  <c r="H23" i="6"/>
  <c r="F22" i="6"/>
  <c r="E22" i="6"/>
  <c r="H22" i="6"/>
  <c r="F21" i="6"/>
  <c r="E21" i="6"/>
  <c r="H21" i="6"/>
  <c r="F20" i="6"/>
  <c r="E20" i="6"/>
  <c r="H20" i="6"/>
  <c r="F19" i="6"/>
  <c r="E19" i="6"/>
  <c r="H19" i="6"/>
  <c r="F17" i="6"/>
  <c r="E17" i="6"/>
  <c r="F16" i="6"/>
  <c r="E16" i="6"/>
  <c r="H16" i="6"/>
  <c r="F15" i="6"/>
  <c r="E15" i="6"/>
  <c r="H15" i="6"/>
  <c r="F14" i="6"/>
  <c r="E14" i="6"/>
  <c r="G4" i="6"/>
  <c r="B8" i="6"/>
  <c r="D18" i="6"/>
  <c r="L18" i="6"/>
  <c r="H50" i="6"/>
  <c r="G47" i="6"/>
  <c r="G17" i="6"/>
  <c r="I23" i="12"/>
  <c r="H23" i="12"/>
  <c r="I12" i="12"/>
  <c r="H12" i="12"/>
  <c r="H13" i="12"/>
  <c r="I13" i="12"/>
  <c r="I14" i="12"/>
  <c r="H14" i="12"/>
  <c r="H21" i="12"/>
  <c r="I21" i="12"/>
  <c r="H15" i="12"/>
  <c r="I15" i="12"/>
  <c r="I16" i="12"/>
  <c r="H16" i="12"/>
  <c r="I26" i="12"/>
  <c r="H26" i="12"/>
  <c r="H17" i="12"/>
  <c r="I17" i="12"/>
  <c r="I20" i="12"/>
  <c r="H20" i="12"/>
  <c r="G28" i="12"/>
  <c r="H11" i="12"/>
  <c r="I11" i="12"/>
  <c r="G27" i="12"/>
  <c r="J22" i="12"/>
  <c r="K22" i="12"/>
  <c r="N22" i="12"/>
  <c r="H19" i="12"/>
  <c r="I19" i="12"/>
  <c r="I24" i="12"/>
  <c r="H24" i="12"/>
  <c r="H25" i="12"/>
  <c r="I25" i="12"/>
  <c r="I18" i="12"/>
  <c r="H18" i="12"/>
  <c r="E28" i="6"/>
  <c r="G16" i="6"/>
  <c r="G49" i="6"/>
  <c r="I24" i="6"/>
  <c r="J24" i="6"/>
  <c r="I20" i="6"/>
  <c r="J20" i="6"/>
  <c r="F28" i="6"/>
  <c r="F53" i="6"/>
  <c r="I19" i="6"/>
  <c r="J19" i="6"/>
  <c r="G20" i="6"/>
  <c r="G23" i="6"/>
  <c r="G24" i="6"/>
  <c r="G27" i="6"/>
  <c r="I16" i="6"/>
  <c r="J16" i="6"/>
  <c r="I22" i="6"/>
  <c r="J22" i="6"/>
  <c r="I26" i="6"/>
  <c r="J26" i="6"/>
  <c r="I43" i="6"/>
  <c r="J43" i="6"/>
  <c r="I47" i="6"/>
  <c r="J47" i="6"/>
  <c r="I15" i="6"/>
  <c r="J15" i="6"/>
  <c r="H17" i="6"/>
  <c r="I21" i="6"/>
  <c r="J21" i="6"/>
  <c r="I25" i="6"/>
  <c r="I23" i="6"/>
  <c r="J23" i="6"/>
  <c r="I27" i="6"/>
  <c r="J27" i="6"/>
  <c r="G48" i="6"/>
  <c r="J53" i="7"/>
  <c r="E53" i="6"/>
  <c r="D25" i="6"/>
  <c r="L25" i="6"/>
  <c r="D21" i="6"/>
  <c r="L21" i="6"/>
  <c r="D26" i="6"/>
  <c r="L26" i="6"/>
  <c r="D22" i="6"/>
  <c r="L22" i="6"/>
  <c r="D14" i="6"/>
  <c r="D15" i="6"/>
  <c r="L15" i="6"/>
  <c r="D27" i="6"/>
  <c r="L27" i="6"/>
  <c r="D23" i="6"/>
  <c r="L23" i="6"/>
  <c r="D19" i="6"/>
  <c r="L19" i="6"/>
  <c r="D24" i="6"/>
  <c r="L24" i="6"/>
  <c r="D20" i="6"/>
  <c r="L20" i="6"/>
  <c r="D16" i="6"/>
  <c r="L16" i="6"/>
  <c r="D17" i="6"/>
  <c r="G14" i="6"/>
  <c r="G22" i="6"/>
  <c r="J25" i="6"/>
  <c r="G26" i="6"/>
  <c r="I48" i="6"/>
  <c r="J48" i="6"/>
  <c r="G15" i="6"/>
  <c r="G19" i="6"/>
  <c r="H14" i="6"/>
  <c r="G21" i="6"/>
  <c r="G25" i="6"/>
  <c r="L22" i="12"/>
  <c r="K20" i="12"/>
  <c r="N20" i="12"/>
  <c r="J20" i="12"/>
  <c r="J26" i="12"/>
  <c r="K26" i="12"/>
  <c r="N26" i="12"/>
  <c r="K14" i="12"/>
  <c r="N14" i="12"/>
  <c r="J14" i="12"/>
  <c r="K12" i="12"/>
  <c r="N12" i="12"/>
  <c r="J12" i="12"/>
  <c r="K25" i="12"/>
  <c r="N25" i="12"/>
  <c r="J25" i="12"/>
  <c r="J19" i="12"/>
  <c r="K19" i="12"/>
  <c r="N19" i="12"/>
  <c r="I27" i="12"/>
  <c r="F42" i="12"/>
  <c r="L26" i="12"/>
  <c r="J15" i="12"/>
  <c r="K15" i="12"/>
  <c r="N15" i="12"/>
  <c r="K18" i="12"/>
  <c r="N18" i="12"/>
  <c r="J18" i="12"/>
  <c r="K24" i="12"/>
  <c r="N24" i="12"/>
  <c r="J24" i="12"/>
  <c r="J11" i="12"/>
  <c r="H27" i="12"/>
  <c r="E42" i="12"/>
  <c r="K11" i="12"/>
  <c r="N11" i="12"/>
  <c r="K16" i="12"/>
  <c r="N16" i="12"/>
  <c r="J16" i="12"/>
  <c r="J23" i="12"/>
  <c r="K23" i="12"/>
  <c r="N23" i="12"/>
  <c r="M22" i="12"/>
  <c r="J17" i="12"/>
  <c r="K17" i="12"/>
  <c r="N17" i="12"/>
  <c r="K21" i="12"/>
  <c r="N21" i="12"/>
  <c r="J21" i="12"/>
  <c r="K13" i="12"/>
  <c r="N13" i="12"/>
  <c r="J13" i="12"/>
  <c r="L14" i="6"/>
  <c r="G50" i="6"/>
  <c r="J50" i="6"/>
  <c r="I17" i="6"/>
  <c r="J17" i="6"/>
  <c r="L17" i="6"/>
  <c r="G53" i="6"/>
  <c r="H28" i="6"/>
  <c r="I14" i="6"/>
  <c r="I50" i="6"/>
  <c r="N27" i="12"/>
  <c r="L28" i="6"/>
  <c r="L20" i="12"/>
  <c r="M20" i="12"/>
  <c r="L23" i="12"/>
  <c r="L24" i="12"/>
  <c r="M24" i="12"/>
  <c r="L12" i="12"/>
  <c r="M17" i="12"/>
  <c r="M23" i="12"/>
  <c r="M15" i="12"/>
  <c r="M12" i="12"/>
  <c r="M11" i="12"/>
  <c r="J27" i="12"/>
  <c r="G42" i="12"/>
  <c r="M13" i="12"/>
  <c r="L16" i="12"/>
  <c r="L13" i="12"/>
  <c r="L17" i="12"/>
  <c r="L15" i="12"/>
  <c r="L18" i="12"/>
  <c r="L21" i="12"/>
  <c r="K27" i="12"/>
  <c r="H42" i="12"/>
  <c r="L14" i="12"/>
  <c r="M19" i="12"/>
  <c r="L19" i="12"/>
  <c r="M21" i="12"/>
  <c r="M16" i="12"/>
  <c r="M18" i="12"/>
  <c r="L11" i="12"/>
  <c r="M25" i="12"/>
  <c r="M14" i="12"/>
  <c r="M26" i="12"/>
  <c r="L25" i="12"/>
  <c r="I28" i="6"/>
  <c r="I53" i="6"/>
  <c r="J14" i="6"/>
  <c r="J28" i="6"/>
  <c r="H53" i="6"/>
  <c r="C28" i="6"/>
  <c r="L27" i="12"/>
  <c r="I42" i="12"/>
  <c r="M27" i="12"/>
  <c r="J42" i="12"/>
  <c r="J53" i="6"/>
  <c r="D28" i="6"/>
  <c r="D22" i="1"/>
  <c r="D23" i="1"/>
  <c r="F22" i="1"/>
  <c r="F23" i="1"/>
  <c r="B22" i="1"/>
  <c r="B23" i="1"/>
  <c r="L28" i="15" l="1"/>
  <c r="O28" i="15" s="1"/>
  <c r="K28" i="15"/>
  <c r="L20" i="15"/>
  <c r="O20" i="15" s="1"/>
  <c r="K20" i="15"/>
  <c r="J12" i="15"/>
  <c r="I12" i="15"/>
  <c r="J26" i="15"/>
  <c r="I26" i="15"/>
  <c r="L13" i="15"/>
  <c r="O13" i="15" s="1"/>
  <c r="K13" i="15"/>
  <c r="I19" i="15"/>
  <c r="J19" i="15"/>
  <c r="I25" i="15"/>
  <c r="J25" i="15"/>
  <c r="J29" i="15"/>
  <c r="I29" i="15"/>
  <c r="J18" i="15"/>
  <c r="I18" i="15"/>
  <c r="I11" i="15"/>
  <c r="H30" i="15"/>
  <c r="H31" i="15"/>
  <c r="J11" i="15"/>
  <c r="I17" i="15"/>
  <c r="J17" i="15"/>
  <c r="I24" i="15"/>
  <c r="J24" i="15"/>
  <c r="J14" i="15"/>
  <c r="I14" i="15"/>
  <c r="J22" i="15"/>
  <c r="I22" i="15"/>
  <c r="J27" i="15"/>
  <c r="I27" i="15"/>
  <c r="J16" i="15"/>
  <c r="I16" i="15"/>
  <c r="J23" i="15"/>
  <c r="I23" i="15"/>
  <c r="J21" i="15"/>
  <c r="I21" i="15"/>
  <c r="J15" i="15"/>
  <c r="I15" i="15"/>
  <c r="F12" i="9"/>
  <c r="F17" i="9"/>
  <c r="F13" i="9"/>
  <c r="E27" i="9"/>
  <c r="F19" i="9"/>
  <c r="F26" i="9"/>
  <c r="E29" i="9"/>
  <c r="F21" i="9"/>
  <c r="F24" i="9"/>
  <c r="F14" i="9"/>
  <c r="E28" i="9"/>
  <c r="F23" i="9"/>
  <c r="F22" i="9"/>
  <c r="F11" i="9"/>
  <c r="F25" i="9"/>
  <c r="F20" i="9"/>
  <c r="F15" i="9"/>
  <c r="F18" i="9"/>
  <c r="G11" i="13"/>
  <c r="F27" i="13"/>
  <c r="G25" i="13"/>
  <c r="G21" i="13"/>
  <c r="G17" i="13"/>
  <c r="G13" i="13"/>
  <c r="E28" i="13"/>
  <c r="G26" i="13"/>
  <c r="G22" i="13"/>
  <c r="G18" i="13"/>
  <c r="G14" i="13"/>
  <c r="G24" i="13"/>
  <c r="G20" i="13"/>
  <c r="G16" i="13"/>
  <c r="K27" i="15" l="1"/>
  <c r="L27" i="15"/>
  <c r="O27" i="15" s="1"/>
  <c r="K29" i="15"/>
  <c r="L29" i="15"/>
  <c r="O29" i="15" s="1"/>
  <c r="L21" i="15"/>
  <c r="O21" i="15" s="1"/>
  <c r="K21" i="15"/>
  <c r="N21" i="15" s="1"/>
  <c r="L17" i="15"/>
  <c r="O17" i="15" s="1"/>
  <c r="K17" i="15"/>
  <c r="M26" i="15"/>
  <c r="L22" i="15"/>
  <c r="O22" i="15" s="1"/>
  <c r="K22" i="15"/>
  <c r="N22" i="15" s="1"/>
  <c r="J30" i="15"/>
  <c r="G44" i="15" s="1"/>
  <c r="L12" i="15"/>
  <c r="O12" i="15" s="1"/>
  <c r="K12" i="15"/>
  <c r="N12" i="15" s="1"/>
  <c r="M12" i="15"/>
  <c r="M16" i="15"/>
  <c r="M18" i="15"/>
  <c r="M15" i="15"/>
  <c r="M20" i="15"/>
  <c r="L23" i="15"/>
  <c r="O23" i="15" s="1"/>
  <c r="K23" i="15"/>
  <c r="N23" i="15" s="1"/>
  <c r="M22" i="15"/>
  <c r="L25" i="15"/>
  <c r="O25" i="15" s="1"/>
  <c r="K25" i="15"/>
  <c r="N25" i="15" s="1"/>
  <c r="L14" i="15"/>
  <c r="O14" i="15" s="1"/>
  <c r="K14" i="15"/>
  <c r="N14" i="15" s="1"/>
  <c r="M13" i="15"/>
  <c r="M14" i="15"/>
  <c r="I30" i="15"/>
  <c r="F44" i="15" s="1"/>
  <c r="L11" i="15"/>
  <c r="K11" i="15"/>
  <c r="K19" i="15"/>
  <c r="L19" i="15"/>
  <c r="O19" i="15" s="1"/>
  <c r="N20" i="15"/>
  <c r="L15" i="15"/>
  <c r="O15" i="15" s="1"/>
  <c r="K15" i="15"/>
  <c r="N15" i="15" s="1"/>
  <c r="K24" i="15"/>
  <c r="L24" i="15"/>
  <c r="O24" i="15" s="1"/>
  <c r="N28" i="15"/>
  <c r="M17" i="15"/>
  <c r="K26" i="15"/>
  <c r="L26" i="15"/>
  <c r="O26" i="15" s="1"/>
  <c r="M28" i="15"/>
  <c r="L16" i="15"/>
  <c r="O16" i="15" s="1"/>
  <c r="K16" i="15"/>
  <c r="N16" i="15" s="1"/>
  <c r="K18" i="15"/>
  <c r="N18" i="15" s="1"/>
  <c r="L18" i="15"/>
  <c r="O18" i="15" s="1"/>
  <c r="N13" i="15"/>
  <c r="F28" i="9"/>
  <c r="F27" i="9"/>
  <c r="G11" i="9" s="1"/>
  <c r="I11" i="9" s="1"/>
  <c r="G28" i="13"/>
  <c r="G27" i="13"/>
  <c r="H20" i="13" s="1"/>
  <c r="K30" i="15" l="1"/>
  <c r="H44" i="15" s="1"/>
  <c r="N11" i="15"/>
  <c r="L30" i="15"/>
  <c r="I44" i="15" s="1"/>
  <c r="O11" i="15"/>
  <c r="O30" i="15" s="1"/>
  <c r="M21" i="15"/>
  <c r="N27" i="15"/>
  <c r="N26" i="15"/>
  <c r="M19" i="15"/>
  <c r="M25" i="15"/>
  <c r="N17" i="15"/>
  <c r="M24" i="15"/>
  <c r="N24" i="15"/>
  <c r="N29" i="15"/>
  <c r="M29" i="15"/>
  <c r="N19" i="15"/>
  <c r="M23" i="15"/>
  <c r="M27" i="15"/>
  <c r="M11" i="15"/>
  <c r="G14" i="9"/>
  <c r="G16" i="9"/>
  <c r="G18" i="9"/>
  <c r="G23" i="9"/>
  <c r="H23" i="9" s="1"/>
  <c r="G13" i="9"/>
  <c r="G22" i="9"/>
  <c r="G19" i="9"/>
  <c r="G12" i="9"/>
  <c r="H12" i="9" s="1"/>
  <c r="H11" i="9"/>
  <c r="G15" i="9"/>
  <c r="I15" i="9" s="1"/>
  <c r="G21" i="9"/>
  <c r="G24" i="9"/>
  <c r="I24" i="9" s="1"/>
  <c r="G17" i="9"/>
  <c r="I17" i="9" s="1"/>
  <c r="G26" i="9"/>
  <c r="H26" i="9" s="1"/>
  <c r="G25" i="9"/>
  <c r="G20" i="9"/>
  <c r="K11" i="9"/>
  <c r="L11" i="9" s="1"/>
  <c r="J11" i="9"/>
  <c r="I13" i="9"/>
  <c r="H13" i="9"/>
  <c r="I16" i="9"/>
  <c r="H16" i="9"/>
  <c r="H17" i="9"/>
  <c r="I12" i="9"/>
  <c r="I21" i="9"/>
  <c r="H21" i="9"/>
  <c r="I19" i="9"/>
  <c r="H19" i="9"/>
  <c r="I14" i="9"/>
  <c r="H14" i="9"/>
  <c r="H15" i="9"/>
  <c r="I26" i="9"/>
  <c r="I25" i="9"/>
  <c r="H25" i="9"/>
  <c r="I18" i="9"/>
  <c r="H18" i="9"/>
  <c r="H22" i="9"/>
  <c r="I22" i="9"/>
  <c r="I20" i="9"/>
  <c r="H16" i="13"/>
  <c r="H22" i="13"/>
  <c r="H25" i="13"/>
  <c r="J25" i="13" s="1"/>
  <c r="I20" i="13"/>
  <c r="J20" i="13"/>
  <c r="J22" i="13"/>
  <c r="I22" i="13"/>
  <c r="I25" i="13"/>
  <c r="H23" i="13"/>
  <c r="H19" i="13"/>
  <c r="H15" i="13"/>
  <c r="H11" i="13"/>
  <c r="H12" i="13"/>
  <c r="I16" i="13"/>
  <c r="J16" i="13"/>
  <c r="H14" i="13"/>
  <c r="H21" i="13"/>
  <c r="H26" i="13"/>
  <c r="H24" i="13"/>
  <c r="H13" i="13"/>
  <c r="H17" i="13"/>
  <c r="H18" i="13"/>
  <c r="M30" i="15" l="1"/>
  <c r="J44" i="15" s="1"/>
  <c r="N30" i="15"/>
  <c r="K44" i="15" s="1"/>
  <c r="H24" i="9"/>
  <c r="I23" i="9"/>
  <c r="G27" i="9"/>
  <c r="G28" i="9"/>
  <c r="H20" i="9"/>
  <c r="K20" i="9" s="1"/>
  <c r="N20" i="9" s="1"/>
  <c r="K26" i="9"/>
  <c r="N26" i="9" s="1"/>
  <c r="J26" i="9"/>
  <c r="J20" i="9"/>
  <c r="K25" i="9"/>
  <c r="N25" i="9" s="1"/>
  <c r="J25" i="9"/>
  <c r="K15" i="9"/>
  <c r="N15" i="9" s="1"/>
  <c r="J15" i="9"/>
  <c r="K12" i="9"/>
  <c r="N12" i="9" s="1"/>
  <c r="J12" i="9"/>
  <c r="J16" i="9"/>
  <c r="K16" i="9"/>
  <c r="N16" i="9" s="1"/>
  <c r="H27" i="9"/>
  <c r="E42" i="9" s="1"/>
  <c r="I27" i="9"/>
  <c r="F42" i="9" s="1"/>
  <c r="M11" i="9"/>
  <c r="K22" i="9"/>
  <c r="N22" i="9" s="1"/>
  <c r="J22" i="9"/>
  <c r="J23" i="9"/>
  <c r="K23" i="9"/>
  <c r="N23" i="9" s="1"/>
  <c r="K24" i="9"/>
  <c r="N24" i="9" s="1"/>
  <c r="J24" i="9"/>
  <c r="J18" i="9"/>
  <c r="K18" i="9"/>
  <c r="N18" i="9" s="1"/>
  <c r="L26" i="9"/>
  <c r="K14" i="9"/>
  <c r="N14" i="9" s="1"/>
  <c r="J14" i="9"/>
  <c r="J19" i="9"/>
  <c r="K19" i="9"/>
  <c r="N19" i="9" s="1"/>
  <c r="K21" i="9"/>
  <c r="N21" i="9" s="1"/>
  <c r="J21" i="9"/>
  <c r="K17" i="9"/>
  <c r="N17" i="9" s="1"/>
  <c r="J17" i="9"/>
  <c r="K13" i="9"/>
  <c r="N13" i="9" s="1"/>
  <c r="J13" i="9"/>
  <c r="N11" i="9"/>
  <c r="J26" i="13"/>
  <c r="I26" i="13"/>
  <c r="I19" i="13"/>
  <c r="J19" i="13"/>
  <c r="I17" i="13"/>
  <c r="J17" i="13"/>
  <c r="I21" i="13"/>
  <c r="J21" i="13"/>
  <c r="I12" i="13"/>
  <c r="J12" i="13"/>
  <c r="I23" i="13"/>
  <c r="J23" i="13"/>
  <c r="J18" i="13"/>
  <c r="I18" i="13"/>
  <c r="L16" i="13"/>
  <c r="O16" i="13" s="1"/>
  <c r="K16" i="13"/>
  <c r="L22" i="13"/>
  <c r="O22" i="13" s="1"/>
  <c r="K22" i="13"/>
  <c r="I13" i="13"/>
  <c r="J13" i="13"/>
  <c r="J14" i="13"/>
  <c r="I14" i="13"/>
  <c r="I11" i="13"/>
  <c r="J11" i="13"/>
  <c r="H27" i="13"/>
  <c r="H28" i="13"/>
  <c r="I24" i="13"/>
  <c r="J24" i="13"/>
  <c r="M16" i="13"/>
  <c r="I15" i="13"/>
  <c r="J15" i="13"/>
  <c r="K25" i="13"/>
  <c r="L25" i="13"/>
  <c r="O25" i="13" s="1"/>
  <c r="K20" i="13"/>
  <c r="L20" i="13"/>
  <c r="O20" i="13" s="1"/>
  <c r="M22" i="9" l="1"/>
  <c r="L25" i="9"/>
  <c r="M26" i="9"/>
  <c r="M15" i="9"/>
  <c r="L12" i="9"/>
  <c r="M12" i="9"/>
  <c r="M25" i="9"/>
  <c r="L15" i="9"/>
  <c r="K27" i="9"/>
  <c r="H42" i="9" s="1"/>
  <c r="M17" i="9"/>
  <c r="J27" i="9"/>
  <c r="G42" i="9" s="1"/>
  <c r="N27" i="9"/>
  <c r="M19" i="9"/>
  <c r="M16" i="9"/>
  <c r="L23" i="9"/>
  <c r="L13" i="9"/>
  <c r="M13" i="9"/>
  <c r="M21" i="9"/>
  <c r="M14" i="9"/>
  <c r="M18" i="9"/>
  <c r="M23" i="9"/>
  <c r="L20" i="9"/>
  <c r="L16" i="9"/>
  <c r="L18" i="9"/>
  <c r="L22" i="9"/>
  <c r="L17" i="9"/>
  <c r="L19" i="9"/>
  <c r="M24" i="9"/>
  <c r="L14" i="9"/>
  <c r="M20" i="9"/>
  <c r="L21" i="9"/>
  <c r="L24" i="9"/>
  <c r="N25" i="13"/>
  <c r="J27" i="13"/>
  <c r="F42" i="13" s="1"/>
  <c r="N16" i="13"/>
  <c r="L18" i="13"/>
  <c r="O18" i="13" s="1"/>
  <c r="K18" i="13"/>
  <c r="L23" i="13"/>
  <c r="O23" i="13" s="1"/>
  <c r="K23" i="13"/>
  <c r="K21" i="13"/>
  <c r="N21" i="13" s="1"/>
  <c r="L21" i="13"/>
  <c r="O21" i="13" s="1"/>
  <c r="K19" i="13"/>
  <c r="N19" i="13" s="1"/>
  <c r="L19" i="13"/>
  <c r="O19" i="13" s="1"/>
  <c r="M25" i="13"/>
  <c r="K11" i="13"/>
  <c r="L11" i="13"/>
  <c r="M11" i="13" s="1"/>
  <c r="I27" i="13"/>
  <c r="E42" i="13" s="1"/>
  <c r="L13" i="13"/>
  <c r="O13" i="13" s="1"/>
  <c r="K13" i="13"/>
  <c r="L26" i="13"/>
  <c r="O26" i="13" s="1"/>
  <c r="K26" i="13"/>
  <c r="L24" i="13"/>
  <c r="O24" i="13" s="1"/>
  <c r="K24" i="13"/>
  <c r="N20" i="13"/>
  <c r="K15" i="13"/>
  <c r="L15" i="13"/>
  <c r="O15" i="13" s="1"/>
  <c r="L14" i="13"/>
  <c r="O14" i="13" s="1"/>
  <c r="K14" i="13"/>
  <c r="N22" i="13"/>
  <c r="M20" i="13"/>
  <c r="M22" i="13"/>
  <c r="L12" i="13"/>
  <c r="O12" i="13" s="1"/>
  <c r="K12" i="13"/>
  <c r="K17" i="13"/>
  <c r="L17" i="13"/>
  <c r="O17" i="13" s="1"/>
  <c r="M26" i="13"/>
  <c r="M27" i="9" l="1"/>
  <c r="J42" i="9" s="1"/>
  <c r="L27" i="9"/>
  <c r="I42" i="9" s="1"/>
  <c r="N24" i="13"/>
  <c r="M18" i="13"/>
  <c r="N12" i="13"/>
  <c r="N15" i="13"/>
  <c r="N26" i="13"/>
  <c r="M15" i="13"/>
  <c r="M13" i="13"/>
  <c r="N17" i="13"/>
  <c r="M12" i="13"/>
  <c r="N18" i="13"/>
  <c r="M19" i="13"/>
  <c r="M14" i="13"/>
  <c r="M21" i="13"/>
  <c r="M17" i="13"/>
  <c r="L27" i="13"/>
  <c r="H42" i="13" s="1"/>
  <c r="O11" i="13"/>
  <c r="O27" i="13" s="1"/>
  <c r="N14" i="13"/>
  <c r="N13" i="13"/>
  <c r="N11" i="13"/>
  <c r="K27" i="13"/>
  <c r="G42" i="13" s="1"/>
  <c r="N23" i="13"/>
  <c r="M24" i="13"/>
  <c r="M23" i="13"/>
  <c r="M27" i="13" l="1"/>
  <c r="I42" i="13" s="1"/>
  <c r="N27" i="13"/>
  <c r="J42" i="13" s="1"/>
  <c r="I28" i="16"/>
  <c r="I27" i="16"/>
  <c r="J20" i="16"/>
  <c r="J19" i="16"/>
  <c r="J12" i="16"/>
  <c r="J14" i="16"/>
  <c r="J17" i="16"/>
  <c r="J26" i="16"/>
  <c r="J16" i="16"/>
  <c r="J23" i="16"/>
  <c r="I29" i="16"/>
  <c r="J29" i="16" s="1"/>
  <c r="J11" i="16"/>
  <c r="J15" i="16"/>
  <c r="J25" i="16"/>
  <c r="J22" i="16"/>
  <c r="J18" i="16"/>
  <c r="J21" i="16"/>
  <c r="J24" i="16"/>
  <c r="J13" i="16"/>
  <c r="J27" i="16" l="1"/>
  <c r="J28" i="16"/>
  <c r="K24" i="16" l="1"/>
  <c r="K22" i="16"/>
  <c r="K23" i="16"/>
  <c r="K12" i="16"/>
  <c r="K25" i="16"/>
  <c r="K14" i="16"/>
  <c r="K13" i="16"/>
  <c r="K20" i="16"/>
  <c r="K18" i="16"/>
  <c r="K16" i="16"/>
  <c r="K17" i="16"/>
  <c r="K21" i="16"/>
  <c r="K19" i="16"/>
  <c r="K11" i="16"/>
  <c r="K15" i="16"/>
  <c r="K26" i="16"/>
  <c r="L22" i="16" l="1"/>
  <c r="O22" i="16" s="1"/>
  <c r="M22" i="16"/>
  <c r="M13" i="16"/>
  <c r="L13" i="16"/>
  <c r="O13" i="16" s="1"/>
  <c r="M16" i="16"/>
  <c r="L16" i="16"/>
  <c r="O16" i="16" s="1"/>
  <c r="M18" i="16"/>
  <c r="L18" i="16"/>
  <c r="O18" i="16" s="1"/>
  <c r="M24" i="16"/>
  <c r="L24" i="16"/>
  <c r="O24" i="16" s="1"/>
  <c r="O26" i="16"/>
  <c r="M20" i="16"/>
  <c r="L20" i="16"/>
  <c r="O20" i="16" s="1"/>
  <c r="M15" i="16"/>
  <c r="L15" i="16"/>
  <c r="O15" i="16" s="1"/>
  <c r="L11" i="16"/>
  <c r="L27" i="16" s="1"/>
  <c r="K28" i="16"/>
  <c r="K27" i="16"/>
  <c r="M14" i="16"/>
  <c r="L14" i="16"/>
  <c r="O14" i="16" s="1"/>
  <c r="L19" i="16"/>
  <c r="O19" i="16" s="1"/>
  <c r="M19" i="16"/>
  <c r="P19" i="16" s="1"/>
  <c r="L25" i="16"/>
  <c r="O25" i="16" s="1"/>
  <c r="M25" i="16"/>
  <c r="M21" i="16"/>
  <c r="L21" i="16"/>
  <c r="O21" i="16" s="1"/>
  <c r="M12" i="16"/>
  <c r="L12" i="16"/>
  <c r="O12" i="16" s="1"/>
  <c r="M17" i="16"/>
  <c r="L17" i="16"/>
  <c r="O17" i="16" s="1"/>
  <c r="M23" i="16"/>
  <c r="L23" i="16"/>
  <c r="O23" i="16" s="1"/>
  <c r="M27" i="16" l="1"/>
  <c r="I61" i="16" s="1"/>
  <c r="P25" i="16"/>
  <c r="P22" i="16"/>
  <c r="P17" i="16"/>
  <c r="P15" i="16"/>
  <c r="P12" i="16"/>
  <c r="P20" i="16"/>
  <c r="P13" i="16"/>
  <c r="P18" i="16"/>
  <c r="P14" i="16"/>
  <c r="P21" i="16"/>
  <c r="P26" i="16"/>
  <c r="P16" i="16"/>
  <c r="P23" i="16"/>
  <c r="O11" i="16"/>
  <c r="O27" i="16" s="1"/>
  <c r="K61" i="16" s="1"/>
  <c r="N11" i="16"/>
  <c r="P24" i="16"/>
  <c r="R22" i="16"/>
  <c r="N22" i="16"/>
  <c r="R17" i="16"/>
  <c r="N17" i="16"/>
  <c r="N18" i="16"/>
  <c r="R18" i="16"/>
  <c r="N19" i="16"/>
  <c r="R19" i="16"/>
  <c r="R12" i="16"/>
  <c r="N12" i="16"/>
  <c r="R20" i="16"/>
  <c r="N20" i="16"/>
  <c r="R26" i="16"/>
  <c r="N26" i="16"/>
  <c r="R13" i="16"/>
  <c r="N13" i="16"/>
  <c r="N23" i="16"/>
  <c r="R23" i="16"/>
  <c r="R24" i="16"/>
  <c r="N24" i="16"/>
  <c r="N25" i="16"/>
  <c r="R25" i="16"/>
  <c r="N15" i="16"/>
  <c r="R15" i="16"/>
  <c r="R14" i="16"/>
  <c r="N14" i="16"/>
  <c r="N16" i="16"/>
  <c r="R16" i="16"/>
  <c r="N21" i="16"/>
  <c r="R21" i="16"/>
  <c r="G67" i="16" l="1"/>
  <c r="G61" i="16"/>
  <c r="P11" i="16"/>
  <c r="Q11" i="16" s="1"/>
  <c r="Q21" i="16"/>
  <c r="Q18" i="16"/>
  <c r="Q15" i="16"/>
  <c r="Q17" i="16"/>
  <c r="Q23" i="16"/>
  <c r="Q20" i="16"/>
  <c r="Q13" i="16"/>
  <c r="Q26" i="16"/>
  <c r="Q24" i="16"/>
  <c r="Q22" i="16"/>
  <c r="R11" i="16"/>
  <c r="R27" i="16" s="1"/>
  <c r="Q25" i="16"/>
  <c r="Q16" i="16"/>
  <c r="Q14" i="16"/>
  <c r="Q12" i="16"/>
  <c r="Q19" i="16"/>
  <c r="N27" i="16"/>
  <c r="J61" i="16" s="1"/>
  <c r="Q27" i="16" l="1"/>
  <c r="M61" i="16" s="1"/>
  <c r="P27" i="16"/>
  <c r="L61" i="16" s="1"/>
</calcChain>
</file>

<file path=xl/comments1.xml><?xml version="1.0" encoding="utf-8"?>
<comments xmlns="http://schemas.openxmlformats.org/spreadsheetml/2006/main">
  <authors>
    <author>Rickard Uddenberg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</commentList>
</comments>
</file>

<file path=xl/comments2.xml><?xml version="1.0" encoding="utf-8"?>
<comments xmlns="http://schemas.openxmlformats.org/spreadsheetml/2006/main">
  <authors>
    <author>Rickard Uddenberg</author>
    <author>tc={A20CEBDA-1B0F-274D-A67A-25AEE7FA0FF4}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C13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Sänkt från 3% till 2% då det ligger bergvärmeborrhåll som ligger befintligt och är avskrivet.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comments3.xml><?xml version="1.0" encoding="utf-8"?>
<comments xmlns="http://schemas.openxmlformats.org/spreadsheetml/2006/main">
  <authors>
    <author>Rickard Uddenberg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Kommer bytas 2019..
Normal teknisk livslängd är 25 år… räknar man.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Kommer bytas 2019.. Flera har sprungit läck så de är iaf säkert gamla och ingen teknisk livslängd kvar.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Många element är sedan det byggdes enligt hantverkare, men ofta är det bytt i kök, till nya. Oklart när dock, men garageterat för 1992 eller 1992. Så genomsnittet av 1937 och 1992 tas som basår.
(Och elemenetena _är_ slut idag, de skall bytas av en anledning. :))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Kommer bytas 2019.. Troligen. Behöver bytas, funkar dåligt etc så ingen teknisk livslängd kvar.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Kommer ej bytas och har ändå teknisk livslängd kvar.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O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O27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comments4.xml><?xml version="1.0" encoding="utf-8"?>
<comments xmlns="http://schemas.openxmlformats.org/spreadsheetml/2006/main">
  <authors>
    <author>Rickard Uddenberg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O2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O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</commentList>
</comments>
</file>

<file path=xl/comments5.xml><?xml version="1.0" encoding="utf-8"?>
<comments xmlns="http://schemas.openxmlformats.org/spreadsheetml/2006/main">
  <authors>
    <author>Rickard Uddenberg</author>
    <author>Erica Lohall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är i princip en värdemodell. Varför den måste justeras för värdet på nybyggnation.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 är inte rimligt att det skulle bara vara 17 år kvar, ej eller känns det som att sätta köp-datum och räkna 100 år från det. Bättre räkna 200 år från bygget.</t>
        </r>
      </text>
    </comment>
    <comment ref="R1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med vad ny UC och elemnetbytet beräknas kosta.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Orimligt att elen är så stor förhållande till värmen.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Detta står och är inget gjort sedan 1991, så det verkar hålla betydligt längre än 15 år, 20-25..
</t>
        </r>
      </text>
    </comment>
    <comment ref="R20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Lågt värde, men inflationsjusterat rimligt värde för byte fönster.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Aktiverades dock aldrig.. Vi gjorde det själva.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Självdrag. Oftast det FTX eller FT och andra dyra lösningar idag.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Från 25 till 50 år, vi har självdrag.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Hissen har hållt betydligt längre än 25 år. Krog och utrustning är säkert 50 år och drivning gissningsvis 30 iaf om inte lika gammalt.</t>
        </r>
      </text>
    </comment>
    <comment ref="R24" authorId="0" shapeId="0">
      <text>
        <r>
          <rPr>
            <b/>
            <sz val="9"/>
            <color indexed="81"/>
            <rFont val="Tahoma"/>
            <family val="2"/>
          </rPr>
          <t>Rickard Uddenberg:</t>
        </r>
        <r>
          <rPr>
            <sz val="9"/>
            <color indexed="81"/>
            <rFont val="Tahoma"/>
            <family val="2"/>
          </rPr>
          <t xml:space="preserve">
Stämmer ungefär vad två nya hissar kostar, inflationsjusterat så där på en höft. (nästan 1 milj/st)
</t>
        </r>
      </text>
    </comment>
    <comment ref="I38" authorId="1" shapeId="0">
      <text>
        <r>
          <rPr>
            <b/>
            <sz val="9"/>
            <color indexed="81"/>
            <rFont val="Tahoma"/>
            <family val="2"/>
          </rPr>
          <t>Erica Lohall:</t>
        </r>
        <r>
          <rPr>
            <sz val="9"/>
            <color indexed="81"/>
            <rFont val="Tahoma"/>
            <family val="2"/>
          </rPr>
          <t xml:space="preserve">
denna summa uträknad fr restpost byggnad. 840000/2053944=0,4 
</t>
        </r>
      </text>
    </comment>
  </commentList>
</comments>
</file>

<file path=xl/sharedStrings.xml><?xml version="1.0" encoding="utf-8"?>
<sst xmlns="http://schemas.openxmlformats.org/spreadsheetml/2006/main" count="595" uniqueCount="175">
  <si>
    <t>Komponent</t>
  </si>
  <si>
    <t>Stomme och grund</t>
  </si>
  <si>
    <t>Stomkomplletteringar/innerväggar</t>
  </si>
  <si>
    <t>Värme, Sanitet (VS)</t>
  </si>
  <si>
    <t>El</t>
  </si>
  <si>
    <t>Inre ytskikt och vitvaror</t>
  </si>
  <si>
    <t>Fasad</t>
  </si>
  <si>
    <t>Fönster</t>
  </si>
  <si>
    <t>Köksinredning</t>
  </si>
  <si>
    <t>Yttertak</t>
  </si>
  <si>
    <t>Ventilation</t>
  </si>
  <si>
    <t>Transport (tex. Hiss)</t>
  </si>
  <si>
    <t>Styr &amp; Övervakning</t>
  </si>
  <si>
    <t>Restpost</t>
  </si>
  <si>
    <t>Andel</t>
  </si>
  <si>
    <t>Avskrivning enligt SABO på ny hyresfastigheter</t>
  </si>
  <si>
    <t>Nyttjande period, år</t>
  </si>
  <si>
    <t>Antal år på fastigheten</t>
  </si>
  <si>
    <t>Kvarvaran. Perioder</t>
  </si>
  <si>
    <t>Nyttjande perioder</t>
  </si>
  <si>
    <t>Byggnadsvärde</t>
  </si>
  <si>
    <t>Ack. Avskriningar</t>
  </si>
  <si>
    <t>Stomkompletteringar/innerväggar</t>
  </si>
  <si>
    <t>Ej avskrivningbart på fastigheten</t>
  </si>
  <si>
    <t>Aktiverade reparationskostnader</t>
  </si>
  <si>
    <t>Aktiverings-datum</t>
  </si>
  <si>
    <t>Aktiverat belopp</t>
  </si>
  <si>
    <t>bokf. Ack avskrivning</t>
  </si>
  <si>
    <t>Bokfört restvärde</t>
  </si>
  <si>
    <t xml:space="preserve">Beräknade tidigare avskr. </t>
  </si>
  <si>
    <t>Reparationer, ej spec.</t>
  </si>
  <si>
    <t>Reparationer, ombyggnationer</t>
  </si>
  <si>
    <t>Reparationer, kontor</t>
  </si>
  <si>
    <t>Reparationer, Källarförråd</t>
  </si>
  <si>
    <t>Stambyte</t>
  </si>
  <si>
    <t>Undercentraler</t>
  </si>
  <si>
    <t>Anskaffningsdatum</t>
  </si>
  <si>
    <t>Bokslutsdatum</t>
  </si>
  <si>
    <t>År på fastigheten</t>
  </si>
  <si>
    <t>Tidigare avskr.%</t>
  </si>
  <si>
    <t>Ny fastighet</t>
  </si>
  <si>
    <t>24 år gammal</t>
  </si>
  <si>
    <t>49 år gammal</t>
  </si>
  <si>
    <t>Bokfört IB restvärde</t>
  </si>
  <si>
    <t>Brf Ekoxen</t>
  </si>
  <si>
    <t>Avskrivningar 2018 enligt K3</t>
  </si>
  <si>
    <t>Ack avskrivning tom beskatt.år</t>
  </si>
  <si>
    <t>Redovisat värde 20181231</t>
  </si>
  <si>
    <t>Stenläggning</t>
  </si>
  <si>
    <t>Fasad- och markförbättringar</t>
  </si>
  <si>
    <t>Markanläggning</t>
  </si>
  <si>
    <t>Bergvärme</t>
  </si>
  <si>
    <t>Led- belysning</t>
  </si>
  <si>
    <t>Stammar</t>
  </si>
  <si>
    <t>Lokalförbättringar</t>
  </si>
  <si>
    <t>Total</t>
  </si>
  <si>
    <t>enligt K3 1 131 982 kr</t>
  </si>
  <si>
    <t>Bokförda avskrivningar 2018 fastigheter :</t>
  </si>
  <si>
    <t>justering avskrivningar 2018 för fastigheter 1 131 982 - 439 832 = 692 150 kr</t>
  </si>
  <si>
    <t>enligt K2 439 832 kr</t>
  </si>
  <si>
    <t>Detta ingår el i lägenheterna, detta äger inte föreningen längre; se tidigare resonemang med internt och externt //RU</t>
  </si>
  <si>
    <t>Vi har gjort stammrenovering -91, detta stämmer på en fastighet som är 49år och inte gjort det.. //RU</t>
  </si>
  <si>
    <t>1) Inga avskrivnignar under 12 år.</t>
  </si>
  <si>
    <t>2b) Sålda hyres-lägenheter räknas ej in för att förenkla.</t>
  </si>
  <si>
    <t>2a) Inre lägenhetsdelar som medlemen ansvarar för skall itne räknas in, det har dessa "köpt" när man köpte sin andel. Där med nollas detta förutom 2b. //RU</t>
  </si>
  <si>
    <t>Bör vara högre, detta är gjort -91</t>
  </si>
  <si>
    <t>Gjordes 2004.</t>
  </si>
  <si>
    <t>Hissarna har hållit i nästan 50 år, varför vi väljer den siffran, 0 kvar, men 50 år framåt.</t>
  </si>
  <si>
    <t>UC är över 25 år och lika mesta av sådant varför vi sätter detta till 0 kr kvar/IB.</t>
  </si>
  <si>
    <t>För låg andel… vet ej när det är gjort, gissningsvis -91</t>
  </si>
  <si>
    <t>Vi har självdrag. Det är ett murat "rör" dvs en del av stomkompletteringar snarare.</t>
  </si>
  <si>
    <t>Basår</t>
  </si>
  <si>
    <t>na</t>
  </si>
  <si>
    <t>Avloppsstammar (horisontella)</t>
  </si>
  <si>
    <t>Avloppsstammar (lodräta)</t>
  </si>
  <si>
    <t>Bokslutsår</t>
  </si>
  <si>
    <t>Aktiverade komponenter</t>
  </si>
  <si>
    <t>Livslängd år</t>
  </si>
  <si>
    <t>Kvar år</t>
  </si>
  <si>
    <t>Viktad kvot</t>
  </si>
  <si>
    <t>Viktad %-kvot</t>
  </si>
  <si>
    <t>Värmesystem, element, UC, oljebrän, värmestammar etc</t>
  </si>
  <si>
    <t>Vattenstammar, varm o kallvatten, horis. &amp; lodr.</t>
  </si>
  <si>
    <t>Summa</t>
  </si>
  <si>
    <t>Genomsnitt</t>
  </si>
  <si>
    <t>Vägt genomsnitt</t>
  </si>
  <si>
    <t>Avskrivningar</t>
  </si>
  <si>
    <t>Fullvärde enl modell</t>
  </si>
  <si>
    <t>Kontrollkollumn</t>
  </si>
  <si>
    <t>Justerad Livslängd år</t>
  </si>
  <si>
    <t>Kommentarer</t>
  </si>
  <si>
    <t>Fördel. SABO "ny" - justerad värde-modell.</t>
  </si>
  <si>
    <t>Justerad %kvot SABO-modell</t>
  </si>
  <si>
    <t>Fördel. SABO "ny"</t>
  </si>
  <si>
    <t>Referens - Fördel. SABO "ny"</t>
  </si>
  <si>
    <t xml:space="preserve">Av: Olga </t>
  </si>
  <si>
    <t>SABO</t>
  </si>
  <si>
    <t>Version 2</t>
  </si>
  <si>
    <t>Version 1</t>
  </si>
  <si>
    <t>Kommenterad, kontrollkollum skapad, av Rickard U</t>
  </si>
  <si>
    <t>Kommenterad, kontrollkollum och justerad kvarvarande period av Rickard U</t>
  </si>
  <si>
    <t>Så länge som det stått sedan -91 visar att det håller längre.</t>
  </si>
  <si>
    <t>Version 3</t>
  </si>
  <si>
    <t>Av: Rickard med bas av Olgas version</t>
  </si>
  <si>
    <t>Version 4 - ändrade värden i sabo</t>
  </si>
  <si>
    <t>Version 3 - ändrade värden i längd och fiktiv värme.</t>
  </si>
  <si>
    <t>Version 5 - referensvärde bara</t>
  </si>
  <si>
    <t xml:space="preserve">Kvar från (2001) förvärvningsår </t>
  </si>
  <si>
    <t>Avskrivningar 2018 enligt K3, 2001s värde..</t>
  </si>
  <si>
    <t>Värmesystem, element</t>
  </si>
  <si>
    <t>Värmesystem, termost. &amp; ventil.</t>
  </si>
  <si>
    <t>Värmesystem, UC, oljebrännare</t>
  </si>
  <si>
    <t>Värmesystem, stammar</t>
  </si>
  <si>
    <t>1.</t>
  </si>
  <si>
    <t>2.</t>
  </si>
  <si>
    <t>3a</t>
  </si>
  <si>
    <t>3b</t>
  </si>
  <si>
    <t>3c</t>
  </si>
  <si>
    <t>3d</t>
  </si>
  <si>
    <t>4a</t>
  </si>
  <si>
    <t>4b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</si>
  <si>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</si>
  <si>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</si>
  <si>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</si>
  <si>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</si>
  <si>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</si>
  <si>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</si>
  <si>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</si>
  <si>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</si>
  <si>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</si>
  <si>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Hissar</t>
  </si>
  <si>
    <t>14.</t>
  </si>
  <si>
    <t>15.</t>
  </si>
  <si>
    <t>Fördel. SABO "ny" - justerad</t>
  </si>
  <si>
    <t>Markanläggning??</t>
  </si>
  <si>
    <t>Var denna neda kommer ifrån vet jag inte; men den fanns inte med 2017.</t>
  </si>
  <si>
    <t>dessa låg tidigare under "anskaffningskostnader" med ett belopp om 1 115 795</t>
  </si>
  <si>
    <t>Föreningsbildning</t>
  </si>
  <si>
    <t>Pantbrev</t>
  </si>
  <si>
    <t>denna låg under byggnad tidigare</t>
  </si>
  <si>
    <t>Mark</t>
  </si>
  <si>
    <t>ack avskrivningar</t>
  </si>
  <si>
    <t xml:space="preserve"> IB saldo enligt BR 2018</t>
  </si>
  <si>
    <t>dessa låg tidigare under "fastighetsförbättringar" med ett belopp om 2 775 575 ligger kvar</t>
  </si>
  <si>
    <t>Inköp 2018</t>
  </si>
  <si>
    <t>Lagfart</t>
  </si>
  <si>
    <t>Redovisat värde 2018-12-31</t>
  </si>
  <si>
    <t>Årets Avskrivning</t>
  </si>
  <si>
    <t>Årets Avskrivningar 2018 enligt K3, 2001s värde..</t>
  </si>
  <si>
    <t>16 från 2001</t>
  </si>
  <si>
    <t>Anskaffning</t>
  </si>
  <si>
    <t xml:space="preserve">Antal år som gått </t>
  </si>
  <si>
    <t xml:space="preserve">Avskrivningen är baserad på anskaffningsdatum inte basår. </t>
  </si>
  <si>
    <t>Redovisningsprincipen för K2 och K3</t>
  </si>
  <si>
    <t>Version 6 - referensvärde</t>
  </si>
  <si>
    <t xml:space="preserve">Pågående nyanläggning/förskott byggnad mark </t>
  </si>
  <si>
    <t>Byte av bergvärmepump</t>
  </si>
  <si>
    <t>Byte av element, termostater, balansering av systemet</t>
  </si>
  <si>
    <t>Byte undercentral/installation fjärrvärme</t>
  </si>
  <si>
    <t>-</t>
  </si>
  <si>
    <t>Konto</t>
  </si>
  <si>
    <t>H2M Elteknik AB LF001273</t>
  </si>
  <si>
    <t>ÅF-Infrastructure LF001275</t>
  </si>
  <si>
    <t>Doctor VVS i Vendelsö RE001640</t>
  </si>
  <si>
    <t>Doctor VVS i Vendelsö LF001225</t>
  </si>
  <si>
    <t>Doctor VVS i Vendelsö LF001249</t>
  </si>
  <si>
    <t>Doctor VVS i Vendelsö LF001203</t>
  </si>
  <si>
    <t>ÅF Infrastructure LF001275</t>
  </si>
  <si>
    <t>Pararet, LF001172,1175,1186</t>
  </si>
  <si>
    <t>Pararet, LF001198,1199</t>
  </si>
  <si>
    <t>Pararet LF001214</t>
  </si>
  <si>
    <t>Pararet LF001227, 1228</t>
  </si>
  <si>
    <t>Pararet LF001244</t>
  </si>
  <si>
    <t>Pararet LF001254, 1263</t>
  </si>
  <si>
    <t>Pararet LF001281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</si>
</sst>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0.0%"/>
    <numFmt numFmtId="166" formatCode="yyyy;@"/>
    <numFmt numFmtId="167" formatCode="#,##0.0"/>
    <numFmt numFmtId="168" formatCode="#,##0.00000"/>
    <numFmt numFmtId="169" formatCode="#,##0\ &quot;kr&quot;"/>
    <numFmt numFmtId="170" formatCode="#,##0.000000"/>
    <numFmt numFmtId="171" formatCode="0.0"/>
    <numFmt numFmtId="172" formatCode="#,##0,&quot; tkr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trike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310">
    <xf numFmtId="0" fontId="0" fillId="0" borderId="0" xfId="0"/>
    <xf numFmtId="0" fontId="2" fillId="0" borderId="0" xfId="0" applyFont="1"/>
    <xf numFmtId="9" fontId="0" fillId="0" borderId="0" xfId="2" applyFont="1"/>
    <xf numFmtId="164" fontId="0" fillId="0" borderId="0" xfId="1" applyNumberFormat="1" applyFont="1"/>
    <xf numFmtId="165" fontId="0" fillId="0" borderId="0" xfId="2" applyNumberFormat="1" applyFont="1"/>
    <xf numFmtId="10" fontId="0" fillId="0" borderId="0" xfId="2" applyNumberFormat="1" applyFont="1"/>
    <xf numFmtId="165" fontId="0" fillId="0" borderId="0" xfId="0" applyNumberFormat="1"/>
    <xf numFmtId="0" fontId="0" fillId="0" borderId="1" xfId="0" applyBorder="1"/>
    <xf numFmtId="164" fontId="0" fillId="0" borderId="0" xfId="0" applyNumberFormat="1"/>
    <xf numFmtId="2" fontId="0" fillId="0" borderId="0" xfId="0" applyNumberFormat="1"/>
    <xf numFmtId="164" fontId="0" fillId="0" borderId="0" xfId="1" applyNumberFormat="1" applyFont="1" applyBorder="1"/>
    <xf numFmtId="164" fontId="0" fillId="0" borderId="0" xfId="0" applyNumberFormat="1" applyBorder="1"/>
    <xf numFmtId="0" fontId="0" fillId="0" borderId="0" xfId="0" applyBorder="1"/>
    <xf numFmtId="0" fontId="0" fillId="0" borderId="1" xfId="0" applyFill="1" applyBorder="1"/>
    <xf numFmtId="0" fontId="0" fillId="0" borderId="0" xfId="0" applyFill="1"/>
    <xf numFmtId="165" fontId="0" fillId="0" borderId="0" xfId="2" applyNumberFormat="1" applyFont="1" applyFill="1"/>
    <xf numFmtId="164" fontId="0" fillId="0" borderId="0" xfId="1" applyNumberFormat="1" applyFont="1" applyFill="1"/>
    <xf numFmtId="0" fontId="0" fillId="0" borderId="4" xfId="0" applyBorder="1"/>
    <xf numFmtId="165" fontId="0" fillId="0" borderId="4" xfId="2" applyNumberFormat="1" applyFont="1" applyBorder="1"/>
    <xf numFmtId="164" fontId="0" fillId="0" borderId="4" xfId="1" applyNumberFormat="1" applyFont="1" applyFill="1" applyBorder="1"/>
    <xf numFmtId="164" fontId="0" fillId="0" borderId="4" xfId="0" applyNumberFormat="1" applyFill="1" applyBorder="1"/>
    <xf numFmtId="14" fontId="0" fillId="0" borderId="0" xfId="0" applyNumberFormat="1"/>
    <xf numFmtId="164" fontId="0" fillId="0" borderId="4" xfId="0" applyNumberFormat="1" applyBorder="1"/>
    <xf numFmtId="164" fontId="0" fillId="0" borderId="5" xfId="0" applyNumberFormat="1" applyBorder="1"/>
    <xf numFmtId="0" fontId="0" fillId="0" borderId="7" xfId="0" applyBorder="1" applyAlignment="1">
      <alignment horizontal="left" wrapText="1"/>
    </xf>
    <xf numFmtId="0" fontId="0" fillId="0" borderId="7" xfId="0" applyBorder="1"/>
    <xf numFmtId="0" fontId="0" fillId="0" borderId="8" xfId="0" applyBorder="1" applyAlignment="1">
      <alignment horizontal="left" wrapText="1"/>
    </xf>
    <xf numFmtId="9" fontId="0" fillId="0" borderId="8" xfId="0" applyNumberFormat="1" applyBorder="1"/>
    <xf numFmtId="10" fontId="0" fillId="0" borderId="0" xfId="0" applyNumberFormat="1"/>
    <xf numFmtId="165" fontId="0" fillId="0" borderId="8" xfId="2" applyNumberFormat="1" applyFont="1" applyBorder="1"/>
    <xf numFmtId="165" fontId="0" fillId="0" borderId="8" xfId="0" applyNumberFormat="1" applyBorder="1"/>
    <xf numFmtId="0" fontId="3" fillId="0" borderId="0" xfId="0" applyFont="1"/>
    <xf numFmtId="164" fontId="0" fillId="0" borderId="5" xfId="1" applyNumberFormat="1" applyFont="1" applyBorder="1"/>
    <xf numFmtId="14" fontId="0" fillId="0" borderId="6" xfId="1" applyNumberFormat="1" applyFont="1" applyFill="1" applyBorder="1"/>
    <xf numFmtId="0" fontId="2" fillId="0" borderId="4" xfId="0" applyFont="1" applyBorder="1"/>
    <xf numFmtId="0" fontId="0" fillId="0" borderId="4" xfId="0" applyBorder="1" applyAlignment="1">
      <alignment horizontal="left" wrapText="1"/>
    </xf>
    <xf numFmtId="164" fontId="0" fillId="0" borderId="4" xfId="1" applyNumberFormat="1" applyFont="1" applyBorder="1" applyAlignment="1">
      <alignment horizontal="left" wrapText="1"/>
    </xf>
    <xf numFmtId="0" fontId="4" fillId="0" borderId="0" xfId="0" applyFont="1"/>
    <xf numFmtId="164" fontId="4" fillId="0" borderId="0" xfId="0" applyNumberFormat="1" applyFont="1"/>
    <xf numFmtId="164" fontId="0" fillId="0" borderId="0" xfId="1" applyNumberFormat="1" applyFont="1" applyFill="1" applyBorder="1" applyAlignment="1">
      <alignment horizontal="left" wrapText="1"/>
    </xf>
    <xf numFmtId="0" fontId="0" fillId="0" borderId="0" xfId="0" applyFill="1" applyBorder="1"/>
    <xf numFmtId="0" fontId="0" fillId="0" borderId="0" xfId="0" applyFill="1" applyBorder="1" applyAlignment="1">
      <alignment horizontal="left" wrapText="1"/>
    </xf>
    <xf numFmtId="164" fontId="0" fillId="0" borderId="0" xfId="0" applyNumberFormat="1" applyFill="1" applyBorder="1"/>
    <xf numFmtId="164" fontId="0" fillId="0" borderId="0" xfId="1" applyNumberFormat="1" applyFont="1" applyFill="1" applyBorder="1"/>
    <xf numFmtId="0" fontId="5" fillId="0" borderId="0" xfId="0" applyFont="1"/>
    <xf numFmtId="14" fontId="5" fillId="0" borderId="0" xfId="0" applyNumberFormat="1" applyFont="1"/>
    <xf numFmtId="2" fontId="5" fillId="0" borderId="0" xfId="0" applyNumberFormat="1" applyFont="1"/>
    <xf numFmtId="164" fontId="5" fillId="0" borderId="0" xfId="1" applyNumberFormat="1" applyFont="1"/>
    <xf numFmtId="164" fontId="5" fillId="0" borderId="0" xfId="0" applyNumberFormat="1" applyFont="1"/>
    <xf numFmtId="164" fontId="5" fillId="0" borderId="0" xfId="0" applyNumberFormat="1" applyFont="1" applyFill="1" applyBorder="1"/>
    <xf numFmtId="164" fontId="5" fillId="0" borderId="0" xfId="1" applyNumberFormat="1" applyFont="1" applyFill="1"/>
    <xf numFmtId="0" fontId="2" fillId="0" borderId="5" xfId="0" applyFont="1" applyBorder="1"/>
    <xf numFmtId="166" fontId="0" fillId="0" borderId="5" xfId="0" applyNumberFormat="1" applyBorder="1"/>
    <xf numFmtId="164" fontId="0" fillId="0" borderId="5" xfId="0" applyNumberFormat="1" applyFill="1" applyBorder="1"/>
    <xf numFmtId="0" fontId="2" fillId="0" borderId="0" xfId="0" applyFont="1" applyBorder="1"/>
    <xf numFmtId="164" fontId="2" fillId="0" borderId="0" xfId="0" applyNumberFormat="1" applyFont="1" applyBorder="1"/>
    <xf numFmtId="164" fontId="2" fillId="0" borderId="0" xfId="1" applyNumberFormat="1" applyFont="1"/>
    <xf numFmtId="164" fontId="2" fillId="0" borderId="0" xfId="0" applyNumberFormat="1" applyFont="1"/>
    <xf numFmtId="164" fontId="2" fillId="0" borderId="0" xfId="0" applyNumberFormat="1" applyFont="1" applyFill="1" applyBorder="1"/>
    <xf numFmtId="0" fontId="5" fillId="0" borderId="0" xfId="0" applyFont="1" applyFill="1"/>
    <xf numFmtId="14" fontId="5" fillId="0" borderId="0" xfId="0" applyNumberFormat="1" applyFont="1" applyFill="1"/>
    <xf numFmtId="2" fontId="5" fillId="0" borderId="0" xfId="0" applyNumberFormat="1" applyFont="1" applyFill="1"/>
    <xf numFmtId="164" fontId="5" fillId="0" borderId="0" xfId="0" applyNumberFormat="1" applyFont="1" applyFill="1"/>
    <xf numFmtId="0" fontId="9" fillId="0" borderId="0" xfId="0" applyFont="1"/>
    <xf numFmtId="0" fontId="10" fillId="0" borderId="0" xfId="0" applyFont="1"/>
    <xf numFmtId="0" fontId="10" fillId="0" borderId="0" xfId="0" applyFont="1" applyFill="1"/>
    <xf numFmtId="0" fontId="9" fillId="0" borderId="0" xfId="0" applyFont="1" applyFill="1"/>
    <xf numFmtId="0" fontId="9" fillId="0" borderId="4" xfId="0" applyFont="1" applyBorder="1"/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/>
    </xf>
    <xf numFmtId="165" fontId="0" fillId="0" borderId="0" xfId="2" applyNumberFormat="1" applyFont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2" applyNumberFormat="1" applyFont="1" applyFill="1" applyAlignment="1">
      <alignment horizontal="center"/>
    </xf>
    <xf numFmtId="0" fontId="0" fillId="0" borderId="4" xfId="0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" fontId="0" fillId="0" borderId="0" xfId="0" applyNumberForma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0" fontId="9" fillId="0" borderId="0" xfId="0" applyFont="1" applyFill="1" applyBorder="1"/>
    <xf numFmtId="3" fontId="0" fillId="0" borderId="0" xfId="1" applyNumberFormat="1" applyFont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4" xfId="0" applyFont="1" applyBorder="1" applyAlignment="1">
      <alignment horizontal="center" wrapText="1"/>
    </xf>
    <xf numFmtId="164" fontId="0" fillId="0" borderId="4" xfId="1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4" fontId="0" fillId="0" borderId="4" xfId="1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4" fontId="0" fillId="0" borderId="0" xfId="0" quotePrefix="1" applyNumberForma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left" wrapText="1"/>
    </xf>
    <xf numFmtId="164" fontId="13" fillId="0" borderId="0" xfId="1" applyNumberFormat="1" applyFont="1" applyFill="1" applyBorder="1"/>
    <xf numFmtId="164" fontId="13" fillId="0" borderId="0" xfId="0" applyNumberFormat="1" applyFont="1" applyFill="1" applyBorder="1"/>
    <xf numFmtId="0" fontId="13" fillId="0" borderId="0" xfId="0" applyFont="1" applyFill="1" applyBorder="1"/>
    <xf numFmtId="164" fontId="13" fillId="0" borderId="2" xfId="1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/>
    <xf numFmtId="164" fontId="13" fillId="0" borderId="0" xfId="1" applyNumberFormat="1" applyFont="1" applyFill="1" applyBorder="1" applyAlignment="1">
      <alignment horizontal="center" wrapText="1"/>
    </xf>
    <xf numFmtId="0" fontId="9" fillId="0" borderId="1" xfId="0" applyFont="1" applyBorder="1"/>
    <xf numFmtId="0" fontId="9" fillId="0" borderId="5" xfId="0" applyFont="1" applyBorder="1"/>
    <xf numFmtId="0" fontId="9" fillId="0" borderId="2" xfId="0" applyFont="1" applyBorder="1"/>
    <xf numFmtId="164" fontId="5" fillId="3" borderId="0" xfId="1" applyNumberFormat="1" applyFont="1" applyFill="1"/>
    <xf numFmtId="164" fontId="0" fillId="3" borderId="5" xfId="1" applyNumberFormat="1" applyFont="1" applyFill="1" applyBorder="1"/>
    <xf numFmtId="164" fontId="2" fillId="3" borderId="2" xfId="1" applyNumberFormat="1" applyFont="1" applyFill="1" applyBorder="1" applyAlignment="1">
      <alignment horizontal="center" vertical="center" wrapText="1"/>
    </xf>
    <xf numFmtId="164" fontId="0" fillId="3" borderId="0" xfId="1" applyNumberFormat="1" applyFont="1" applyFill="1"/>
    <xf numFmtId="164" fontId="0" fillId="3" borderId="4" xfId="1" applyNumberFormat="1" applyFont="1" applyFill="1" applyBorder="1"/>
    <xf numFmtId="164" fontId="2" fillId="4" borderId="2" xfId="1" applyNumberFormat="1" applyFont="1" applyFill="1" applyBorder="1" applyAlignment="1">
      <alignment horizontal="center" vertical="center" wrapText="1"/>
    </xf>
    <xf numFmtId="164" fontId="0" fillId="4" borderId="0" xfId="1" applyNumberFormat="1" applyFont="1" applyFill="1"/>
    <xf numFmtId="164" fontId="0" fillId="4" borderId="4" xfId="1" applyNumberFormat="1" applyFont="1" applyFill="1" applyBorder="1"/>
    <xf numFmtId="164" fontId="5" fillId="4" borderId="0" xfId="1" applyNumberFormat="1" applyFont="1" applyFill="1"/>
    <xf numFmtId="164" fontId="0" fillId="4" borderId="5" xfId="0" applyNumberFormat="1" applyFill="1" applyBorder="1"/>
    <xf numFmtId="164" fontId="2" fillId="5" borderId="2" xfId="1" applyNumberFormat="1" applyFont="1" applyFill="1" applyBorder="1" applyAlignment="1">
      <alignment horizontal="center" vertical="center" wrapText="1"/>
    </xf>
    <xf numFmtId="164" fontId="0" fillId="5" borderId="0" xfId="0" applyNumberFormat="1" applyFill="1"/>
    <xf numFmtId="164" fontId="0" fillId="5" borderId="4" xfId="0" applyNumberFormat="1" applyFill="1" applyBorder="1"/>
    <xf numFmtId="164" fontId="0" fillId="5" borderId="0" xfId="1" applyNumberFormat="1" applyFont="1" applyFill="1"/>
    <xf numFmtId="164" fontId="5" fillId="5" borderId="0" xfId="0" applyNumberFormat="1" applyFont="1" applyFill="1"/>
    <xf numFmtId="164" fontId="0" fillId="5" borderId="5" xfId="0" applyNumberFormat="1" applyFill="1" applyBorder="1"/>
    <xf numFmtId="0" fontId="2" fillId="6" borderId="2" xfId="0" applyFont="1" applyFill="1" applyBorder="1" applyAlignment="1">
      <alignment horizontal="center" vertical="center" wrapText="1"/>
    </xf>
    <xf numFmtId="164" fontId="0" fillId="6" borderId="0" xfId="0" applyNumberFormat="1" applyFill="1"/>
    <xf numFmtId="164" fontId="0" fillId="6" borderId="5" xfId="0" applyNumberFormat="1" applyFill="1" applyBorder="1"/>
    <xf numFmtId="164" fontId="5" fillId="6" borderId="0" xfId="0" applyNumberFormat="1" applyFont="1" applyFill="1"/>
    <xf numFmtId="0" fontId="2" fillId="7" borderId="2" xfId="0" applyFont="1" applyFill="1" applyBorder="1" applyAlignment="1">
      <alignment horizontal="center" vertical="center" wrapText="1"/>
    </xf>
    <xf numFmtId="164" fontId="0" fillId="7" borderId="0" xfId="0" applyNumberFormat="1" applyFill="1" applyBorder="1"/>
    <xf numFmtId="164" fontId="0" fillId="7" borderId="4" xfId="0" applyNumberFormat="1" applyFill="1" applyBorder="1"/>
    <xf numFmtId="164" fontId="0" fillId="7" borderId="0" xfId="1" applyNumberFormat="1" applyFont="1" applyFill="1" applyBorder="1"/>
    <xf numFmtId="164" fontId="5" fillId="7" borderId="0" xfId="0" applyNumberFormat="1" applyFont="1" applyFill="1" applyBorder="1"/>
    <xf numFmtId="164" fontId="0" fillId="7" borderId="5" xfId="0" applyNumberFormat="1" applyFill="1" applyBorder="1"/>
    <xf numFmtId="164" fontId="2" fillId="8" borderId="2" xfId="1" applyNumberFormat="1" applyFont="1" applyFill="1" applyBorder="1" applyAlignment="1">
      <alignment horizontal="center" vertical="center" wrapText="1"/>
    </xf>
    <xf numFmtId="164" fontId="0" fillId="8" borderId="0" xfId="1" applyNumberFormat="1" applyFont="1" applyFill="1" applyBorder="1"/>
    <xf numFmtId="164" fontId="0" fillId="8" borderId="0" xfId="1" applyNumberFormat="1" applyFont="1" applyFill="1" applyBorder="1" applyAlignment="1">
      <alignment horizontal="left" wrapText="1"/>
    </xf>
    <xf numFmtId="164" fontId="0" fillId="8" borderId="5" xfId="0" applyNumberFormat="1" applyFill="1" applyBorder="1"/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165" fontId="0" fillId="9" borderId="0" xfId="2" applyNumberFormat="1" applyFont="1" applyFill="1" applyAlignment="1">
      <alignment horizontal="center"/>
    </xf>
    <xf numFmtId="168" fontId="0" fillId="9" borderId="0" xfId="0" applyNumberFormat="1" applyFill="1" applyAlignment="1">
      <alignment horizontal="center"/>
    </xf>
    <xf numFmtId="165" fontId="0" fillId="9" borderId="0" xfId="0" applyNumberFormat="1" applyFill="1" applyAlignment="1">
      <alignment horizontal="center"/>
    </xf>
    <xf numFmtId="0" fontId="0" fillId="9" borderId="4" xfId="0" applyFill="1" applyBorder="1" applyAlignment="1">
      <alignment horizontal="center"/>
    </xf>
    <xf numFmtId="165" fontId="0" fillId="9" borderId="4" xfId="2" applyNumberFormat="1" applyFont="1" applyFill="1" applyBorder="1" applyAlignment="1">
      <alignment horizontal="center"/>
    </xf>
    <xf numFmtId="168" fontId="0" fillId="9" borderId="4" xfId="0" applyNumberFormat="1" applyFill="1" applyBorder="1" applyAlignment="1">
      <alignment horizontal="center"/>
    </xf>
    <xf numFmtId="165" fontId="0" fillId="9" borderId="4" xfId="0" applyNumberFormat="1" applyFill="1" applyBorder="1" applyAlignment="1">
      <alignment horizontal="center"/>
    </xf>
    <xf numFmtId="9" fontId="0" fillId="0" borderId="0" xfId="0" applyNumberFormat="1" applyFill="1" applyBorder="1"/>
    <xf numFmtId="165" fontId="13" fillId="0" borderId="0" xfId="1" applyNumberFormat="1" applyFont="1" applyFill="1" applyBorder="1" applyAlignment="1">
      <alignment horizontal="center"/>
    </xf>
    <xf numFmtId="165" fontId="13" fillId="0" borderId="5" xfId="0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 wrapText="1"/>
    </xf>
    <xf numFmtId="14" fontId="0" fillId="0" borderId="0" xfId="1" applyNumberFormat="1" applyFont="1" applyFill="1" applyBorder="1"/>
    <xf numFmtId="164" fontId="2" fillId="0" borderId="4" xfId="1" applyNumberFormat="1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6" fontId="0" fillId="0" borderId="5" xfId="0" applyNumberForma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3" fontId="9" fillId="0" borderId="0" xfId="1" applyNumberFormat="1" applyFont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168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7" fontId="9" fillId="0" borderId="0" xfId="0" quotePrefix="1" applyNumberFormat="1" applyFont="1" applyAlignment="1">
      <alignment horizontal="center"/>
    </xf>
    <xf numFmtId="4" fontId="9" fillId="0" borderId="0" xfId="0" quotePrefix="1" applyNumberFormat="1" applyFont="1" applyAlignment="1">
      <alignment horizontal="center"/>
    </xf>
    <xf numFmtId="4" fontId="12" fillId="0" borderId="0" xfId="0" applyNumberFormat="1" applyFont="1" applyFill="1" applyBorder="1"/>
    <xf numFmtId="4" fontId="12" fillId="0" borderId="0" xfId="0" applyNumberFormat="1" applyFont="1" applyFill="1"/>
    <xf numFmtId="165" fontId="11" fillId="9" borderId="0" xfId="2" applyNumberFormat="1" applyFont="1" applyFill="1" applyAlignment="1">
      <alignment horizontal="center"/>
    </xf>
    <xf numFmtId="0" fontId="14" fillId="9" borderId="2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/>
    </xf>
    <xf numFmtId="3" fontId="15" fillId="0" borderId="5" xfId="0" applyNumberFormat="1" applyFont="1" applyFill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6" fillId="2" borderId="0" xfId="3" applyFont="1" applyBorder="1"/>
    <xf numFmtId="167" fontId="16" fillId="2" borderId="0" xfId="3" quotePrefix="1" applyNumberFormat="1" applyFont="1" applyAlignment="1">
      <alignment horizontal="center"/>
    </xf>
    <xf numFmtId="167" fontId="17" fillId="2" borderId="0" xfId="3" quotePrefix="1" applyNumberFormat="1" applyFont="1" applyAlignment="1">
      <alignment horizontal="center"/>
    </xf>
    <xf numFmtId="170" fontId="0" fillId="9" borderId="0" xfId="0" applyNumberFormat="1" applyFill="1" applyAlignment="1">
      <alignment horizontal="center"/>
    </xf>
    <xf numFmtId="170" fontId="0" fillId="9" borderId="4" xfId="0" applyNumberFormat="1" applyFill="1" applyBorder="1" applyAlignment="1">
      <alignment horizontal="center"/>
    </xf>
    <xf numFmtId="170" fontId="9" fillId="0" borderId="0" xfId="0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0" fontId="9" fillId="0" borderId="0" xfId="0" quotePrefix="1" applyNumberFormat="1" applyFont="1" applyAlignment="1">
      <alignment horizontal="center"/>
    </xf>
    <xf numFmtId="10" fontId="6" fillId="2" borderId="0" xfId="3" quotePrefix="1" applyNumberFormat="1" applyFont="1" applyAlignment="1">
      <alignment horizontal="center"/>
    </xf>
    <xf numFmtId="1" fontId="0" fillId="9" borderId="0" xfId="0" applyNumberFormat="1" applyFill="1" applyAlignment="1">
      <alignment horizontal="center"/>
    </xf>
    <xf numFmtId="1" fontId="0" fillId="9" borderId="4" xfId="0" applyNumberFormat="1" applyFill="1" applyBorder="1" applyAlignment="1">
      <alignment horizontal="center"/>
    </xf>
    <xf numFmtId="172" fontId="0" fillId="3" borderId="0" xfId="1" applyNumberFormat="1" applyFont="1" applyFill="1"/>
    <xf numFmtId="172" fontId="0" fillId="4" borderId="0" xfId="1" applyNumberFormat="1" applyFont="1" applyFill="1"/>
    <xf numFmtId="172" fontId="0" fillId="5" borderId="0" xfId="0" applyNumberFormat="1" applyFill="1"/>
    <xf numFmtId="172" fontId="0" fillId="6" borderId="0" xfId="0" applyNumberFormat="1" applyFill="1"/>
    <xf numFmtId="172" fontId="0" fillId="7" borderId="0" xfId="0" applyNumberFormat="1" applyFill="1" applyBorder="1"/>
    <xf numFmtId="172" fontId="0" fillId="8" borderId="0" xfId="1" applyNumberFormat="1" applyFont="1" applyFill="1" applyBorder="1"/>
    <xf numFmtId="172" fontId="0" fillId="3" borderId="4" xfId="1" applyNumberFormat="1" applyFont="1" applyFill="1" applyBorder="1"/>
    <xf numFmtId="172" fontId="0" fillId="4" borderId="4" xfId="1" applyNumberFormat="1" applyFont="1" applyFill="1" applyBorder="1"/>
    <xf numFmtId="172" fontId="0" fillId="5" borderId="4" xfId="0" applyNumberFormat="1" applyFill="1" applyBorder="1"/>
    <xf numFmtId="172" fontId="0" fillId="7" borderId="4" xfId="0" applyNumberFormat="1" applyFill="1" applyBorder="1"/>
    <xf numFmtId="172" fontId="0" fillId="5" borderId="0" xfId="1" applyNumberFormat="1" applyFont="1" applyFill="1"/>
    <xf numFmtId="172" fontId="0" fillId="6" borderId="5" xfId="0" applyNumberFormat="1" applyFill="1" applyBorder="1"/>
    <xf numFmtId="172" fontId="0" fillId="7" borderId="0" xfId="1" applyNumberFormat="1" applyFont="1" applyFill="1" applyBorder="1"/>
    <xf numFmtId="172" fontId="0" fillId="8" borderId="5" xfId="0" applyNumberFormat="1" applyFill="1" applyBorder="1"/>
    <xf numFmtId="172" fontId="5" fillId="3" borderId="0" xfId="1" applyNumberFormat="1" applyFont="1" applyFill="1" applyAlignment="1">
      <alignment horizontal="right"/>
    </xf>
    <xf numFmtId="172" fontId="5" fillId="4" borderId="0" xfId="1" applyNumberFormat="1" applyFont="1" applyFill="1" applyAlignment="1">
      <alignment horizontal="right"/>
    </xf>
    <xf numFmtId="172" fontId="5" fillId="5" borderId="0" xfId="0" applyNumberFormat="1" applyFont="1" applyFill="1" applyAlignment="1">
      <alignment horizontal="right"/>
    </xf>
    <xf numFmtId="172" fontId="5" fillId="6" borderId="0" xfId="0" applyNumberFormat="1" applyFont="1" applyFill="1" applyAlignment="1">
      <alignment horizontal="right"/>
    </xf>
    <xf numFmtId="172" fontId="5" fillId="7" borderId="0" xfId="0" applyNumberFormat="1" applyFont="1" applyFill="1" applyBorder="1" applyAlignment="1">
      <alignment horizontal="right"/>
    </xf>
    <xf numFmtId="172" fontId="0" fillId="8" borderId="0" xfId="1" applyNumberFormat="1" applyFont="1" applyFill="1" applyBorder="1" applyAlignment="1">
      <alignment horizontal="right" wrapText="1"/>
    </xf>
    <xf numFmtId="172" fontId="0" fillId="3" borderId="5" xfId="1" applyNumberFormat="1" applyFont="1" applyFill="1" applyBorder="1" applyAlignment="1">
      <alignment horizontal="right"/>
    </xf>
    <xf numFmtId="172" fontId="0" fillId="4" borderId="5" xfId="0" applyNumberFormat="1" applyFill="1" applyBorder="1" applyAlignment="1">
      <alignment horizontal="right"/>
    </xf>
    <xf numFmtId="172" fontId="0" fillId="5" borderId="5" xfId="0" applyNumberFormat="1" applyFill="1" applyBorder="1" applyAlignment="1">
      <alignment horizontal="right"/>
    </xf>
    <xf numFmtId="172" fontId="0" fillId="6" borderId="5" xfId="0" applyNumberFormat="1" applyFill="1" applyBorder="1" applyAlignment="1">
      <alignment horizontal="right"/>
    </xf>
    <xf numFmtId="172" fontId="0" fillId="7" borderId="5" xfId="0" applyNumberFormat="1" applyFill="1" applyBorder="1" applyAlignment="1">
      <alignment horizontal="right"/>
    </xf>
    <xf numFmtId="172" fontId="0" fillId="8" borderId="5" xfId="0" applyNumberFormat="1" applyFill="1" applyBorder="1" applyAlignment="1">
      <alignment horizontal="right"/>
    </xf>
    <xf numFmtId="172" fontId="0" fillId="0" borderId="0" xfId="1" applyNumberFormat="1" applyFont="1" applyAlignment="1">
      <alignment horizontal="right"/>
    </xf>
    <xf numFmtId="172" fontId="0" fillId="0" borderId="0" xfId="0" applyNumberFormat="1" applyAlignment="1">
      <alignment horizontal="right"/>
    </xf>
    <xf numFmtId="172" fontId="0" fillId="0" borderId="0" xfId="0" applyNumberFormat="1" applyFill="1" applyBorder="1" applyAlignment="1">
      <alignment horizontal="right"/>
    </xf>
    <xf numFmtId="172" fontId="2" fillId="0" borderId="0" xfId="1" applyNumberFormat="1" applyFont="1" applyAlignment="1">
      <alignment horizontal="right"/>
    </xf>
    <xf numFmtId="172" fontId="2" fillId="0" borderId="0" xfId="0" applyNumberFormat="1" applyFont="1" applyAlignment="1">
      <alignment horizontal="right"/>
    </xf>
    <xf numFmtId="172" fontId="2" fillId="0" borderId="0" xfId="0" applyNumberFormat="1" applyFont="1" applyFill="1" applyBorder="1" applyAlignment="1">
      <alignment horizontal="right"/>
    </xf>
    <xf numFmtId="172" fontId="13" fillId="0" borderId="0" xfId="0" applyNumberFormat="1" applyFont="1" applyFill="1" applyBorder="1"/>
    <xf numFmtId="172" fontId="13" fillId="0" borderId="5" xfId="0" applyNumberFormat="1" applyFont="1" applyFill="1" applyBorder="1"/>
    <xf numFmtId="171" fontId="5" fillId="0" borderId="0" xfId="0" applyNumberFormat="1" applyFont="1" applyFill="1"/>
    <xf numFmtId="0" fontId="18" fillId="0" borderId="0" xfId="0" applyFont="1"/>
    <xf numFmtId="14" fontId="19" fillId="0" borderId="0" xfId="0" applyNumberFormat="1" applyFont="1"/>
    <xf numFmtId="0" fontId="19" fillId="0" borderId="0" xfId="0" applyFont="1"/>
    <xf numFmtId="171" fontId="19" fillId="0" borderId="0" xfId="0" applyNumberFormat="1" applyFont="1" applyFill="1"/>
    <xf numFmtId="172" fontId="19" fillId="3" borderId="0" xfId="1" applyNumberFormat="1" applyFont="1" applyFill="1" applyAlignment="1">
      <alignment horizontal="right"/>
    </xf>
    <xf numFmtId="172" fontId="19" fillId="4" borderId="0" xfId="1" applyNumberFormat="1" applyFont="1" applyFill="1" applyAlignment="1">
      <alignment horizontal="right"/>
    </xf>
    <xf numFmtId="172" fontId="19" fillId="5" borderId="0" xfId="0" applyNumberFormat="1" applyFont="1" applyFill="1" applyAlignment="1">
      <alignment horizontal="right"/>
    </xf>
    <xf numFmtId="172" fontId="19" fillId="6" borderId="0" xfId="0" applyNumberFormat="1" applyFont="1" applyFill="1" applyAlignment="1">
      <alignment horizontal="right"/>
    </xf>
    <xf numFmtId="172" fontId="19" fillId="7" borderId="0" xfId="0" applyNumberFormat="1" applyFont="1" applyFill="1" applyBorder="1" applyAlignment="1">
      <alignment horizontal="right"/>
    </xf>
    <xf numFmtId="172" fontId="3" fillId="8" borderId="0" xfId="1" applyNumberFormat="1" applyFont="1" applyFill="1" applyBorder="1" applyAlignment="1">
      <alignment horizontal="right" wrapText="1"/>
    </xf>
    <xf numFmtId="164" fontId="2" fillId="0" borderId="10" xfId="1" applyNumberFormat="1" applyFont="1" applyBorder="1"/>
    <xf numFmtId="169" fontId="0" fillId="0" borderId="2" xfId="1" applyNumberFormat="1" applyFont="1" applyFill="1" applyBorder="1" applyAlignment="1">
      <alignment horizontal="center"/>
    </xf>
    <xf numFmtId="169" fontId="0" fillId="0" borderId="3" xfId="1" applyNumberFormat="1" applyFont="1" applyFill="1" applyBorder="1" applyAlignment="1">
      <alignment horizontal="center"/>
    </xf>
    <xf numFmtId="3" fontId="0" fillId="0" borderId="2" xfId="1" applyNumberFormat="1" applyFont="1" applyBorder="1" applyAlignment="1">
      <alignment horizontal="center"/>
    </xf>
    <xf numFmtId="3" fontId="0" fillId="0" borderId="3" xfId="1" applyNumberFormat="1" applyFont="1" applyBorder="1" applyAlignment="1">
      <alignment horizontal="center"/>
    </xf>
    <xf numFmtId="14" fontId="0" fillId="0" borderId="4" xfId="1" applyNumberFormat="1" applyFont="1" applyFill="1" applyBorder="1" applyAlignment="1">
      <alignment horizontal="center"/>
    </xf>
    <xf numFmtId="14" fontId="0" fillId="0" borderId="9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right"/>
    </xf>
    <xf numFmtId="164" fontId="0" fillId="0" borderId="3" xfId="1" applyNumberFormat="1" applyFont="1" applyFill="1" applyBorder="1" applyAlignment="1">
      <alignment horizontal="right"/>
    </xf>
    <xf numFmtId="2" fontId="0" fillId="0" borderId="2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10" borderId="0" xfId="0" applyFill="1"/>
    <xf numFmtId="14" fontId="5" fillId="10" borderId="0" xfId="0" applyNumberFormat="1" applyFont="1" applyFill="1"/>
    <xf numFmtId="0" fontId="5" fillId="10" borderId="0" xfId="0" applyFont="1" applyFill="1"/>
    <xf numFmtId="2" fontId="5" fillId="10" borderId="0" xfId="0" applyNumberFormat="1" applyFont="1" applyFill="1"/>
    <xf numFmtId="164" fontId="0" fillId="10" borderId="0" xfId="1" applyNumberFormat="1" applyFont="1" applyFill="1"/>
    <xf numFmtId="0" fontId="20" fillId="10" borderId="0" xfId="0" applyFont="1" applyFill="1"/>
    <xf numFmtId="0" fontId="2" fillId="6" borderId="11" xfId="0" applyFont="1" applyFill="1" applyBorder="1" applyAlignment="1">
      <alignment horizontal="center" vertical="center" wrapText="1"/>
    </xf>
    <xf numFmtId="164" fontId="5" fillId="6" borderId="12" xfId="0" applyNumberFormat="1" applyFont="1" applyFill="1" applyBorder="1"/>
    <xf numFmtId="164" fontId="0" fillId="6" borderId="12" xfId="0" applyNumberFormat="1" applyFill="1" applyBorder="1"/>
    <xf numFmtId="164" fontId="0" fillId="6" borderId="13" xfId="0" applyNumberFormat="1" applyFill="1" applyBorder="1"/>
    <xf numFmtId="165" fontId="9" fillId="0" borderId="5" xfId="0" applyNumberFormat="1" applyFont="1" applyBorder="1" applyAlignment="1">
      <alignment horizontal="center"/>
    </xf>
    <xf numFmtId="164" fontId="2" fillId="0" borderId="0" xfId="1" applyNumberFormat="1" applyFont="1" applyBorder="1"/>
    <xf numFmtId="0" fontId="20" fillId="9" borderId="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164" fontId="0" fillId="7" borderId="14" xfId="1" applyNumberFormat="1" applyFont="1" applyFill="1" applyBorder="1"/>
    <xf numFmtId="0" fontId="9" fillId="0" borderId="6" xfId="0" applyFont="1" applyBorder="1"/>
    <xf numFmtId="169" fontId="0" fillId="0" borderId="6" xfId="1" applyNumberFormat="1" applyFont="1" applyFill="1" applyBorder="1" applyAlignment="1">
      <alignment horizontal="center"/>
    </xf>
    <xf numFmtId="3" fontId="0" fillId="0" borderId="6" xfId="1" applyNumberFormat="1" applyFont="1" applyBorder="1" applyAlignment="1">
      <alignment horizontal="center"/>
    </xf>
    <xf numFmtId="14" fontId="0" fillId="0" borderId="6" xfId="1" applyNumberFormat="1" applyFont="1" applyFill="1" applyBorder="1" applyAlignment="1">
      <alignment horizontal="center"/>
    </xf>
    <xf numFmtId="164" fontId="5" fillId="7" borderId="5" xfId="0" applyNumberFormat="1" applyFont="1" applyFill="1" applyBorder="1"/>
    <xf numFmtId="164" fontId="0" fillId="8" borderId="5" xfId="1" applyNumberFormat="1" applyFont="1" applyFill="1" applyBorder="1" applyAlignment="1">
      <alignment horizontal="left" wrapText="1"/>
    </xf>
    <xf numFmtId="164" fontId="5" fillId="6" borderId="13" xfId="0" applyNumberFormat="1" applyFont="1" applyFill="1" applyBorder="1"/>
    <xf numFmtId="164" fontId="5" fillId="10" borderId="0" xfId="1" applyNumberFormat="1" applyFont="1" applyFill="1"/>
    <xf numFmtId="164" fontId="5" fillId="10" borderId="0" xfId="0" applyNumberFormat="1" applyFont="1" applyFill="1"/>
    <xf numFmtId="164" fontId="5" fillId="10" borderId="12" xfId="0" applyNumberFormat="1" applyFont="1" applyFill="1" applyBorder="1"/>
    <xf numFmtId="164" fontId="5" fillId="10" borderId="0" xfId="0" applyNumberFormat="1" applyFont="1" applyFill="1" applyBorder="1"/>
    <xf numFmtId="164" fontId="0" fillId="10" borderId="0" xfId="1" applyNumberFormat="1" applyFont="1" applyFill="1" applyBorder="1" applyAlignment="1">
      <alignment horizontal="left" wrapText="1"/>
    </xf>
    <xf numFmtId="0" fontId="2" fillId="10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14" fontId="5" fillId="11" borderId="0" xfId="0" applyNumberFormat="1" applyFont="1" applyFill="1"/>
    <xf numFmtId="0" fontId="5" fillId="11" borderId="0" xfId="0" applyFont="1" applyFill="1"/>
    <xf numFmtId="2" fontId="5" fillId="11" borderId="0" xfId="0" applyNumberFormat="1" applyFont="1" applyFill="1"/>
    <xf numFmtId="164" fontId="0" fillId="11" borderId="0" xfId="1" applyNumberFormat="1" applyFont="1" applyFill="1"/>
    <xf numFmtId="164" fontId="0" fillId="11" borderId="12" xfId="1" applyNumberFormat="1" applyFont="1" applyFill="1" applyBorder="1"/>
    <xf numFmtId="14" fontId="0" fillId="10" borderId="0" xfId="0" applyNumberFormat="1" applyFill="1"/>
    <xf numFmtId="169" fontId="0" fillId="10" borderId="0" xfId="0" applyNumberFormat="1" applyFill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1" fillId="11" borderId="0" xfId="0" applyFont="1" applyFill="1"/>
    <xf numFmtId="169" fontId="0" fillId="3" borderId="0" xfId="0" applyNumberFormat="1" applyFill="1"/>
  </cellXfs>
  <cellStyles count="4">
    <cellStyle name="Bra" xfId="3" builtinId="26"/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kard Uddenberg" id="{520E0E65-3A6D-C742-B2C8-38088637AF2E}" userId="6148e7562e21a231" providerId="Windows Live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19-04-19T16:46:33.64" personId="{520E0E65-3A6D-C742-B2C8-38088637AF2E}" id="{A20CEBDA-1B0F-274D-A67A-25AEE7FA0FF4}">
    <text>Sänkt från 3% till 2% då det ligger bergvärmeborrhåll som ligger befintligt och är avskrivet.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showGridLines="0" topLeftCell="A13" workbookViewId="0">
      <selection activeCell="L34" sqref="L34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4.140625" style="3" customWidth="1"/>
    <col min="6" max="7" width="13.5703125" customWidth="1"/>
    <col min="8" max="8" width="13.5703125" bestFit="1" customWidth="1"/>
    <col min="9" max="9" width="16.140625" customWidth="1"/>
    <col min="10" max="10" width="15.85546875" style="40" customWidth="1"/>
    <col min="11" max="11" width="15" style="40" customWidth="1"/>
    <col min="12" max="12" width="15.140625" style="40" customWidth="1"/>
    <col min="13" max="13" width="15.42578125" style="40" customWidth="1"/>
    <col min="14" max="14" width="14.85546875" style="95" customWidth="1"/>
    <col min="15" max="15" width="13.28515625" style="40" bestFit="1" customWidth="1"/>
    <col min="16" max="16" width="12.42578125" style="40" customWidth="1"/>
    <col min="17" max="17" width="13.28515625" style="40" bestFit="1" customWidth="1"/>
    <col min="18" max="18" width="12.42578125" style="40" customWidth="1"/>
    <col min="19" max="19" width="15.5703125" style="40" customWidth="1"/>
    <col min="20" max="20" width="12.140625" style="40" customWidth="1"/>
    <col min="21" max="21" width="14.28515625" style="40" customWidth="1"/>
    <col min="22" max="23" width="9.140625" style="40"/>
  </cols>
  <sheetData>
    <row r="1" spans="1:23" x14ac:dyDescent="0.25">
      <c r="A1" s="1" t="s">
        <v>44</v>
      </c>
    </row>
    <row r="2" spans="1:23" x14ac:dyDescent="0.25">
      <c r="A2" s="40" t="s">
        <v>103</v>
      </c>
      <c r="E2"/>
      <c r="F2" s="40"/>
      <c r="G2" s="40"/>
      <c r="H2" s="40"/>
      <c r="I2" s="40"/>
      <c r="T2"/>
      <c r="U2"/>
      <c r="V2"/>
      <c r="W2"/>
    </row>
    <row r="3" spans="1:23" x14ac:dyDescent="0.25">
      <c r="A3" s="40" t="s">
        <v>105</v>
      </c>
      <c r="B3" s="14"/>
      <c r="C3" s="14"/>
      <c r="E3"/>
      <c r="F3" s="1" t="s">
        <v>44</v>
      </c>
      <c r="G3" s="40"/>
      <c r="H3" s="40"/>
      <c r="I3" s="40"/>
      <c r="T3"/>
      <c r="U3"/>
      <c r="V3"/>
      <c r="W3"/>
    </row>
    <row r="4" spans="1:23" x14ac:dyDescent="0.25">
      <c r="A4" s="40"/>
      <c r="B4" s="14"/>
      <c r="C4" s="14"/>
      <c r="D4" s="16"/>
      <c r="E4"/>
      <c r="F4" s="40" t="s">
        <v>95</v>
      </c>
      <c r="G4" s="40"/>
      <c r="H4" s="40"/>
      <c r="I4" s="40"/>
      <c r="T4"/>
      <c r="U4"/>
      <c r="V4"/>
      <c r="W4"/>
    </row>
    <row r="5" spans="1:23" x14ac:dyDescent="0.25">
      <c r="A5" s="99" t="s">
        <v>20</v>
      </c>
      <c r="B5" s="254">
        <v>43983223</v>
      </c>
      <c r="C5" s="255"/>
      <c r="D5" s="16"/>
      <c r="E5"/>
      <c r="F5" s="40" t="s">
        <v>99</v>
      </c>
      <c r="G5" s="40"/>
      <c r="H5" s="40"/>
      <c r="I5" s="40"/>
      <c r="U5"/>
      <c r="V5"/>
      <c r="W5"/>
    </row>
    <row r="6" spans="1:23" x14ac:dyDescent="0.25">
      <c r="A6" s="99" t="s">
        <v>21</v>
      </c>
      <c r="B6" s="254">
        <v>1883173</v>
      </c>
      <c r="C6" s="255"/>
      <c r="D6" s="16"/>
      <c r="F6" s="40" t="s">
        <v>98</v>
      </c>
      <c r="G6" s="8"/>
    </row>
    <row r="7" spans="1:23" x14ac:dyDescent="0.25">
      <c r="A7" s="100" t="s">
        <v>75</v>
      </c>
      <c r="B7" s="256">
        <v>2018</v>
      </c>
      <c r="C7" s="257"/>
    </row>
    <row r="8" spans="1:23" x14ac:dyDescent="0.25">
      <c r="A8" s="101" t="s">
        <v>37</v>
      </c>
      <c r="B8" s="258">
        <v>43465</v>
      </c>
      <c r="C8" s="259"/>
    </row>
    <row r="10" spans="1:23" ht="30" x14ac:dyDescent="0.25">
      <c r="A10" s="89" t="s">
        <v>24</v>
      </c>
      <c r="B10" s="134" t="s">
        <v>71</v>
      </c>
      <c r="C10" s="134" t="s">
        <v>93</v>
      </c>
      <c r="D10" s="134" t="s">
        <v>89</v>
      </c>
      <c r="E10" s="134" t="s">
        <v>78</v>
      </c>
      <c r="F10" s="134" t="s">
        <v>79</v>
      </c>
      <c r="G10" s="134" t="s">
        <v>80</v>
      </c>
      <c r="H10" s="104" t="s">
        <v>26</v>
      </c>
      <c r="I10" s="107" t="s">
        <v>27</v>
      </c>
      <c r="J10" s="112" t="s">
        <v>43</v>
      </c>
      <c r="K10" s="118" t="s">
        <v>45</v>
      </c>
      <c r="L10" s="122" t="s">
        <v>46</v>
      </c>
      <c r="M10" s="128" t="s">
        <v>47</v>
      </c>
      <c r="N10" s="96" t="s">
        <v>87</v>
      </c>
      <c r="O10" s="41"/>
      <c r="P10" s="39"/>
      <c r="Q10" s="41"/>
      <c r="R10" s="39"/>
      <c r="S10" s="41"/>
      <c r="T10" s="39"/>
      <c r="U10" s="41"/>
    </row>
    <row r="11" spans="1:23" x14ac:dyDescent="0.25">
      <c r="A11" s="63" t="s">
        <v>1</v>
      </c>
      <c r="B11" s="135">
        <v>1935</v>
      </c>
      <c r="C11" s="136">
        <v>0.3</v>
      </c>
      <c r="D11" s="135">
        <v>200</v>
      </c>
      <c r="E11" s="135">
        <f t="shared" ref="E11:E26" si="0">IF(D11-($B$7-B11)&gt;0,D11-($B$7-B11),0)</f>
        <v>117</v>
      </c>
      <c r="F11" s="137">
        <f t="shared" ref="F11:F26" si="1">E11/SUM($E$11:$E$26)*C11</f>
        <v>9.212598425196851E-2</v>
      </c>
      <c r="G11" s="138">
        <f t="shared" ref="G11:G26" si="2">F11/$F$27</f>
        <v>0.61959399823477501</v>
      </c>
      <c r="H11" s="105">
        <f>$B$5*G11</f>
        <v>27251740.993821714</v>
      </c>
      <c r="I11" s="108">
        <f t="shared" ref="I11:I26" si="3">G11*$B$6</f>
        <v>1166802.6884377759</v>
      </c>
      <c r="J11" s="113">
        <f t="shared" ref="J11:J26" si="4">H11-I11</f>
        <v>26084938.305383939</v>
      </c>
      <c r="K11" s="119">
        <f>IFERROR(H11/E11*-1,0)</f>
        <v>-232920.86319505738</v>
      </c>
      <c r="L11" s="123">
        <f>I11-K11</f>
        <v>1399723.5516328332</v>
      </c>
      <c r="M11" s="129">
        <f>J11+K11</f>
        <v>25852017.442188881</v>
      </c>
      <c r="N11" s="94">
        <f>K11*D11*-1</f>
        <v>46584172.639011472</v>
      </c>
      <c r="O11" s="42"/>
      <c r="P11" s="43"/>
      <c r="Q11" s="42"/>
      <c r="R11" s="43"/>
      <c r="S11" s="42"/>
      <c r="T11" s="43"/>
      <c r="U11" s="42"/>
    </row>
    <row r="12" spans="1:23" x14ac:dyDescent="0.25">
      <c r="A12" s="63" t="s">
        <v>2</v>
      </c>
      <c r="B12" s="135">
        <v>1935</v>
      </c>
      <c r="C12" s="136">
        <v>0.19</v>
      </c>
      <c r="D12" s="135">
        <v>150</v>
      </c>
      <c r="E12" s="135">
        <f t="shared" si="0"/>
        <v>67</v>
      </c>
      <c r="F12" s="137">
        <f t="shared" si="1"/>
        <v>3.3412073490813654E-2</v>
      </c>
      <c r="G12" s="138">
        <f t="shared" si="2"/>
        <v>0.22471315092674321</v>
      </c>
      <c r="H12" s="105">
        <f t="shared" ref="H12:H26" si="5">$B$5*G12</f>
        <v>9883608.6282436028</v>
      </c>
      <c r="I12" s="108">
        <f t="shared" si="3"/>
        <v>423173.7385701678</v>
      </c>
      <c r="J12" s="113">
        <f t="shared" si="4"/>
        <v>9460434.8896734342</v>
      </c>
      <c r="K12" s="119">
        <f t="shared" ref="K12:K26" si="6">IFERROR(H12/E12*-1,0)</f>
        <v>-147516.54669020302</v>
      </c>
      <c r="L12" s="123">
        <f t="shared" ref="L12:L26" si="7">I12-K12</f>
        <v>570690.28526037082</v>
      </c>
      <c r="M12" s="129">
        <f t="shared" ref="M12:M26" si="8">J12+K12</f>
        <v>9312918.3429832309</v>
      </c>
      <c r="N12" s="94">
        <f t="shared" ref="N12:N26" si="9">K12*D12*-1</f>
        <v>22127482.003530454</v>
      </c>
      <c r="O12" s="42"/>
      <c r="P12" s="43"/>
      <c r="Q12" s="42"/>
      <c r="R12" s="43"/>
      <c r="S12" s="42"/>
      <c r="T12" s="43"/>
      <c r="U12" s="42"/>
    </row>
    <row r="13" spans="1:23" x14ac:dyDescent="0.25">
      <c r="A13" s="63" t="s">
        <v>81</v>
      </c>
      <c r="B13" s="135">
        <v>1991</v>
      </c>
      <c r="C13" s="136">
        <v>0.04</v>
      </c>
      <c r="D13" s="135">
        <v>40</v>
      </c>
      <c r="E13" s="135">
        <f t="shared" si="0"/>
        <v>13</v>
      </c>
      <c r="F13" s="137">
        <f t="shared" si="1"/>
        <v>1.3648293963254593E-3</v>
      </c>
      <c r="G13" s="138">
        <f t="shared" si="2"/>
        <v>9.1791703442188882E-3</v>
      </c>
      <c r="H13" s="105">
        <f t="shared" si="5"/>
        <v>403729.4962047661</v>
      </c>
      <c r="I13" s="108">
        <f t="shared" si="3"/>
        <v>17285.965754633715</v>
      </c>
      <c r="J13" s="113">
        <f t="shared" si="4"/>
        <v>386443.53045013238</v>
      </c>
      <c r="K13" s="119">
        <f t="shared" si="6"/>
        <v>-31056.115092674314</v>
      </c>
      <c r="L13" s="123">
        <f t="shared" si="7"/>
        <v>48342.080847308025</v>
      </c>
      <c r="M13" s="129">
        <f t="shared" si="8"/>
        <v>355387.41535745806</v>
      </c>
      <c r="N13" s="94">
        <f t="shared" si="9"/>
        <v>1242244.6037069727</v>
      </c>
      <c r="O13" s="42"/>
      <c r="P13" s="43"/>
      <c r="Q13" s="42"/>
      <c r="R13" s="43"/>
      <c r="S13" s="42"/>
      <c r="T13" s="43"/>
      <c r="U13" s="42"/>
    </row>
    <row r="14" spans="1:23" x14ac:dyDescent="0.25">
      <c r="A14" s="64" t="s">
        <v>73</v>
      </c>
      <c r="B14" s="135">
        <v>1935</v>
      </c>
      <c r="C14" s="136">
        <v>0.02</v>
      </c>
      <c r="D14" s="135">
        <v>80</v>
      </c>
      <c r="E14" s="135">
        <f t="shared" si="0"/>
        <v>0</v>
      </c>
      <c r="F14" s="137">
        <f t="shared" si="1"/>
        <v>0</v>
      </c>
      <c r="G14" s="138">
        <f t="shared" si="2"/>
        <v>0</v>
      </c>
      <c r="H14" s="105">
        <f t="shared" si="5"/>
        <v>0</v>
      </c>
      <c r="I14" s="108">
        <f t="shared" si="3"/>
        <v>0</v>
      </c>
      <c r="J14" s="113">
        <f t="shared" si="4"/>
        <v>0</v>
      </c>
      <c r="K14" s="119">
        <f t="shared" si="6"/>
        <v>0</v>
      </c>
      <c r="L14" s="123">
        <f t="shared" si="7"/>
        <v>0</v>
      </c>
      <c r="M14" s="129">
        <f t="shared" si="8"/>
        <v>0</v>
      </c>
      <c r="N14" s="94">
        <f t="shared" si="9"/>
        <v>0</v>
      </c>
      <c r="O14" s="42"/>
      <c r="P14" s="43"/>
      <c r="Q14" s="42"/>
      <c r="R14" s="43"/>
      <c r="S14" s="42"/>
      <c r="T14" s="43"/>
      <c r="U14" s="42"/>
    </row>
    <row r="15" spans="1:23" x14ac:dyDescent="0.25">
      <c r="A15" s="64" t="s">
        <v>74</v>
      </c>
      <c r="B15" s="135">
        <v>1991</v>
      </c>
      <c r="C15" s="136">
        <v>0.03</v>
      </c>
      <c r="D15" s="135">
        <v>50</v>
      </c>
      <c r="E15" s="135">
        <f t="shared" si="0"/>
        <v>23</v>
      </c>
      <c r="F15" s="137">
        <f t="shared" si="1"/>
        <v>1.8110236220472439E-3</v>
      </c>
      <c r="G15" s="138">
        <f t="shared" si="2"/>
        <v>1.2180052956751985E-2</v>
      </c>
      <c r="H15" s="105">
        <f t="shared" si="5"/>
        <v>535717.98534863198</v>
      </c>
      <c r="I15" s="108">
        <f t="shared" si="3"/>
        <v>22937.146866725507</v>
      </c>
      <c r="J15" s="113">
        <f t="shared" si="4"/>
        <v>512780.83848190645</v>
      </c>
      <c r="K15" s="119">
        <f t="shared" si="6"/>
        <v>-23292.086319505739</v>
      </c>
      <c r="L15" s="123">
        <f t="shared" si="7"/>
        <v>46229.233186231242</v>
      </c>
      <c r="M15" s="129">
        <f t="shared" si="8"/>
        <v>489488.75216240069</v>
      </c>
      <c r="N15" s="94">
        <f t="shared" si="9"/>
        <v>1164604.315975287</v>
      </c>
      <c r="O15" s="42"/>
      <c r="P15" s="43"/>
      <c r="Q15" s="42"/>
      <c r="R15" s="43"/>
      <c r="S15" s="42"/>
      <c r="T15" s="43"/>
      <c r="U15" s="42"/>
    </row>
    <row r="16" spans="1:23" x14ac:dyDescent="0.25">
      <c r="A16" s="64" t="s">
        <v>82</v>
      </c>
      <c r="B16" s="135">
        <v>1991</v>
      </c>
      <c r="C16" s="136">
        <v>0.03</v>
      </c>
      <c r="D16" s="135">
        <v>40</v>
      </c>
      <c r="E16" s="135">
        <f t="shared" si="0"/>
        <v>13</v>
      </c>
      <c r="F16" s="137">
        <f t="shared" si="1"/>
        <v>1.0236220472440943E-3</v>
      </c>
      <c r="G16" s="138">
        <f t="shared" si="2"/>
        <v>6.8843777581641657E-3</v>
      </c>
      <c r="H16" s="105">
        <f t="shared" si="5"/>
        <v>302797.12215357454</v>
      </c>
      <c r="I16" s="108">
        <f t="shared" si="3"/>
        <v>12964.474315975287</v>
      </c>
      <c r="J16" s="113">
        <f t="shared" si="4"/>
        <v>289832.64783759927</v>
      </c>
      <c r="K16" s="119">
        <f t="shared" si="6"/>
        <v>-23292.086319505735</v>
      </c>
      <c r="L16" s="123">
        <f t="shared" si="7"/>
        <v>36256.560635481022</v>
      </c>
      <c r="M16" s="129">
        <f t="shared" si="8"/>
        <v>266540.56151809351</v>
      </c>
      <c r="N16" s="94">
        <f t="shared" si="9"/>
        <v>931683.45278022939</v>
      </c>
      <c r="O16" s="42"/>
      <c r="P16" s="43"/>
      <c r="Q16" s="42"/>
      <c r="R16" s="43"/>
      <c r="S16" s="42"/>
      <c r="T16" s="43"/>
      <c r="U16" s="42"/>
    </row>
    <row r="17" spans="1:25" x14ac:dyDescent="0.25">
      <c r="A17" s="63" t="s">
        <v>4</v>
      </c>
      <c r="B17" s="135">
        <v>1991</v>
      </c>
      <c r="C17" s="136">
        <v>0.08</v>
      </c>
      <c r="D17" s="135">
        <v>40</v>
      </c>
      <c r="E17" s="135">
        <f t="shared" si="0"/>
        <v>13</v>
      </c>
      <c r="F17" s="137">
        <f t="shared" si="1"/>
        <v>2.7296587926509187E-3</v>
      </c>
      <c r="G17" s="138">
        <f t="shared" si="2"/>
        <v>1.8358340688437776E-2</v>
      </c>
      <c r="H17" s="105">
        <f t="shared" si="5"/>
        <v>807458.99240953219</v>
      </c>
      <c r="I17" s="108">
        <f t="shared" si="3"/>
        <v>34571.93150926743</v>
      </c>
      <c r="J17" s="113">
        <f t="shared" si="4"/>
        <v>772887.06090026477</v>
      </c>
      <c r="K17" s="119">
        <f t="shared" si="6"/>
        <v>-62112.230185348628</v>
      </c>
      <c r="L17" s="123">
        <f t="shared" si="7"/>
        <v>96684.16169461605</v>
      </c>
      <c r="M17" s="129">
        <f t="shared" si="8"/>
        <v>710774.83071491611</v>
      </c>
      <c r="N17" s="94">
        <f t="shared" si="9"/>
        <v>2484489.2074139453</v>
      </c>
      <c r="O17" s="42"/>
      <c r="P17" s="43"/>
      <c r="Q17" s="42"/>
      <c r="R17" s="43"/>
      <c r="S17" s="42"/>
      <c r="T17" s="43"/>
      <c r="U17" s="42"/>
    </row>
    <row r="18" spans="1:25" x14ac:dyDescent="0.25">
      <c r="A18" s="63" t="s">
        <v>5</v>
      </c>
      <c r="B18" s="135">
        <v>1991</v>
      </c>
      <c r="C18" s="136">
        <v>0</v>
      </c>
      <c r="D18" s="135">
        <v>25</v>
      </c>
      <c r="E18" s="135">
        <f t="shared" si="0"/>
        <v>0</v>
      </c>
      <c r="F18" s="137">
        <f t="shared" si="1"/>
        <v>0</v>
      </c>
      <c r="G18" s="138">
        <f t="shared" si="2"/>
        <v>0</v>
      </c>
      <c r="H18" s="105">
        <f t="shared" si="5"/>
        <v>0</v>
      </c>
      <c r="I18" s="108">
        <f t="shared" si="3"/>
        <v>0</v>
      </c>
      <c r="J18" s="113">
        <f t="shared" si="4"/>
        <v>0</v>
      </c>
      <c r="K18" s="119">
        <f t="shared" si="6"/>
        <v>0</v>
      </c>
      <c r="L18" s="123">
        <f t="shared" si="7"/>
        <v>0</v>
      </c>
      <c r="M18" s="129">
        <f t="shared" si="8"/>
        <v>0</v>
      </c>
      <c r="N18" s="94">
        <f t="shared" si="9"/>
        <v>0</v>
      </c>
      <c r="O18" s="42"/>
      <c r="P18" s="43"/>
      <c r="Q18" s="42"/>
      <c r="R18" s="43"/>
      <c r="S18" s="42"/>
      <c r="T18" s="43"/>
      <c r="U18" s="42"/>
    </row>
    <row r="19" spans="1:25" x14ac:dyDescent="0.25">
      <c r="A19" s="63" t="s">
        <v>6</v>
      </c>
      <c r="B19" s="135">
        <v>1991</v>
      </c>
      <c r="C19" s="136">
        <v>0.05</v>
      </c>
      <c r="D19" s="135">
        <v>50</v>
      </c>
      <c r="E19" s="135">
        <f t="shared" si="0"/>
        <v>23</v>
      </c>
      <c r="F19" s="137">
        <f t="shared" si="1"/>
        <v>3.0183727034120734E-3</v>
      </c>
      <c r="G19" s="138">
        <f t="shared" si="2"/>
        <v>2.0300088261253312E-2</v>
      </c>
      <c r="H19" s="105">
        <f t="shared" si="5"/>
        <v>892863.30891438667</v>
      </c>
      <c r="I19" s="108">
        <f t="shared" si="3"/>
        <v>38228.578111209179</v>
      </c>
      <c r="J19" s="113">
        <f t="shared" si="4"/>
        <v>854634.73080317746</v>
      </c>
      <c r="K19" s="119">
        <f t="shared" si="6"/>
        <v>-38820.143865842896</v>
      </c>
      <c r="L19" s="123">
        <f t="shared" si="7"/>
        <v>77048.721977052075</v>
      </c>
      <c r="M19" s="129">
        <f t="shared" si="8"/>
        <v>815814.58693733462</v>
      </c>
      <c r="N19" s="94">
        <f t="shared" si="9"/>
        <v>1941007.1932921447</v>
      </c>
      <c r="O19" s="42"/>
      <c r="P19" s="43"/>
      <c r="Q19" s="42"/>
      <c r="R19" s="43"/>
      <c r="S19" s="42"/>
      <c r="T19" s="43"/>
      <c r="U19" s="42"/>
    </row>
    <row r="20" spans="1:25" x14ac:dyDescent="0.25">
      <c r="A20" s="63" t="s">
        <v>7</v>
      </c>
      <c r="B20" s="135">
        <v>1991</v>
      </c>
      <c r="C20" s="136">
        <v>0.03</v>
      </c>
      <c r="D20" s="135">
        <v>50</v>
      </c>
      <c r="E20" s="135">
        <f t="shared" si="0"/>
        <v>23</v>
      </c>
      <c r="F20" s="137">
        <f t="shared" si="1"/>
        <v>1.8110236220472439E-3</v>
      </c>
      <c r="G20" s="138">
        <f t="shared" si="2"/>
        <v>1.2180052956751985E-2</v>
      </c>
      <c r="H20" s="105">
        <f t="shared" si="5"/>
        <v>535717.98534863198</v>
      </c>
      <c r="I20" s="108">
        <f t="shared" si="3"/>
        <v>22937.146866725507</v>
      </c>
      <c r="J20" s="113">
        <f t="shared" si="4"/>
        <v>512780.83848190645</v>
      </c>
      <c r="K20" s="119">
        <f t="shared" si="6"/>
        <v>-23292.086319505739</v>
      </c>
      <c r="L20" s="123">
        <f t="shared" si="7"/>
        <v>46229.233186231242</v>
      </c>
      <c r="M20" s="129">
        <f t="shared" si="8"/>
        <v>489488.75216240069</v>
      </c>
      <c r="N20" s="94">
        <f t="shared" si="9"/>
        <v>1164604.315975287</v>
      </c>
      <c r="O20" s="42"/>
      <c r="P20" s="43"/>
      <c r="Q20" s="42"/>
      <c r="R20" s="43"/>
      <c r="S20" s="42"/>
      <c r="T20" s="43"/>
      <c r="U20" s="42"/>
    </row>
    <row r="21" spans="1:25" x14ac:dyDescent="0.25">
      <c r="A21" s="63" t="s">
        <v>8</v>
      </c>
      <c r="B21" s="135">
        <v>1991</v>
      </c>
      <c r="C21" s="136">
        <v>0.03</v>
      </c>
      <c r="D21" s="135">
        <v>30</v>
      </c>
      <c r="E21" s="135">
        <f t="shared" si="0"/>
        <v>3</v>
      </c>
      <c r="F21" s="137">
        <f t="shared" si="1"/>
        <v>2.3622047244094486E-4</v>
      </c>
      <c r="G21" s="138">
        <f t="shared" si="2"/>
        <v>1.588702559576346E-3</v>
      </c>
      <c r="H21" s="105">
        <f t="shared" si="5"/>
        <v>69876.25895851721</v>
      </c>
      <c r="I21" s="108">
        <f t="shared" si="3"/>
        <v>2991.801765225066</v>
      </c>
      <c r="J21" s="113">
        <f t="shared" si="4"/>
        <v>66884.457193292139</v>
      </c>
      <c r="K21" s="119">
        <f t="shared" si="6"/>
        <v>-23292.086319505735</v>
      </c>
      <c r="L21" s="123">
        <f t="shared" si="7"/>
        <v>26283.888084730803</v>
      </c>
      <c r="M21" s="129">
        <f t="shared" si="8"/>
        <v>43592.370873786407</v>
      </c>
      <c r="N21" s="94">
        <f t="shared" si="9"/>
        <v>698762.58958517201</v>
      </c>
      <c r="O21" s="42"/>
      <c r="P21" s="43"/>
      <c r="Q21" s="42"/>
      <c r="R21" s="43"/>
      <c r="S21" s="42"/>
      <c r="T21" s="43"/>
      <c r="U21" s="42"/>
    </row>
    <row r="22" spans="1:25" s="14" customFormat="1" x14ac:dyDescent="0.25">
      <c r="A22" s="63" t="s">
        <v>9</v>
      </c>
      <c r="B22" s="135">
        <v>2005</v>
      </c>
      <c r="C22" s="136">
        <v>0.02</v>
      </c>
      <c r="D22" s="135">
        <v>40</v>
      </c>
      <c r="E22" s="135">
        <f t="shared" si="0"/>
        <v>27</v>
      </c>
      <c r="F22" s="137">
        <f t="shared" si="1"/>
        <v>1.4173228346456694E-3</v>
      </c>
      <c r="G22" s="138">
        <f t="shared" si="2"/>
        <v>9.5322153574580772E-3</v>
      </c>
      <c r="H22" s="105">
        <f t="shared" si="5"/>
        <v>419257.55375110335</v>
      </c>
      <c r="I22" s="108">
        <f t="shared" si="3"/>
        <v>17950.810591350401</v>
      </c>
      <c r="J22" s="113">
        <f t="shared" si="4"/>
        <v>401306.74315975292</v>
      </c>
      <c r="K22" s="119">
        <f t="shared" si="6"/>
        <v>-15528.057546337161</v>
      </c>
      <c r="L22" s="123">
        <f t="shared" si="7"/>
        <v>33478.868137687561</v>
      </c>
      <c r="M22" s="129">
        <f t="shared" si="8"/>
        <v>385778.68561341579</v>
      </c>
      <c r="N22" s="94">
        <f t="shared" si="9"/>
        <v>621122.30185348645</v>
      </c>
      <c r="O22" s="42"/>
      <c r="P22" s="43"/>
      <c r="Q22" s="42"/>
      <c r="R22" s="43"/>
      <c r="S22" s="42"/>
      <c r="T22" s="43"/>
      <c r="U22" s="42"/>
      <c r="V22" s="40"/>
      <c r="W22" s="40"/>
    </row>
    <row r="23" spans="1:25" x14ac:dyDescent="0.25">
      <c r="A23" s="66" t="s">
        <v>10</v>
      </c>
      <c r="B23" s="135">
        <v>1991</v>
      </c>
      <c r="C23" s="136">
        <v>0.02</v>
      </c>
      <c r="D23" s="135">
        <v>50</v>
      </c>
      <c r="E23" s="135">
        <f t="shared" si="0"/>
        <v>23</v>
      </c>
      <c r="F23" s="137">
        <f t="shared" si="1"/>
        <v>1.2073490813648295E-3</v>
      </c>
      <c r="G23" s="138">
        <f t="shared" si="2"/>
        <v>8.1200353045013246E-3</v>
      </c>
      <c r="H23" s="105">
        <f t="shared" si="5"/>
        <v>357145.32356575469</v>
      </c>
      <c r="I23" s="108">
        <f t="shared" si="3"/>
        <v>15291.431244483672</v>
      </c>
      <c r="J23" s="113">
        <f t="shared" si="4"/>
        <v>341853.89232127101</v>
      </c>
      <c r="K23" s="119">
        <f t="shared" si="6"/>
        <v>-15528.057546337161</v>
      </c>
      <c r="L23" s="123">
        <f t="shared" si="7"/>
        <v>30819.488790820833</v>
      </c>
      <c r="M23" s="129">
        <f t="shared" si="8"/>
        <v>326325.83477493387</v>
      </c>
      <c r="N23" s="94">
        <f t="shared" si="9"/>
        <v>776402.87731685804</v>
      </c>
      <c r="O23" s="42"/>
      <c r="P23" s="43"/>
      <c r="Q23" s="42"/>
      <c r="R23" s="43"/>
      <c r="S23" s="42"/>
      <c r="T23" s="43"/>
      <c r="U23" s="42"/>
    </row>
    <row r="24" spans="1:25" x14ac:dyDescent="0.25">
      <c r="A24" s="63" t="s">
        <v>11</v>
      </c>
      <c r="B24" s="135">
        <v>1991</v>
      </c>
      <c r="C24" s="136">
        <v>0.02</v>
      </c>
      <c r="D24" s="135">
        <v>40</v>
      </c>
      <c r="E24" s="135">
        <f t="shared" si="0"/>
        <v>13</v>
      </c>
      <c r="F24" s="137">
        <f t="shared" si="1"/>
        <v>6.8241469816272967E-4</v>
      </c>
      <c r="G24" s="138">
        <f t="shared" si="2"/>
        <v>4.5895851721094441E-3</v>
      </c>
      <c r="H24" s="105">
        <f t="shared" si="5"/>
        <v>201864.74810238305</v>
      </c>
      <c r="I24" s="108">
        <f t="shared" si="3"/>
        <v>8642.9828773168574</v>
      </c>
      <c r="J24" s="113">
        <f t="shared" si="4"/>
        <v>193221.76522506619</v>
      </c>
      <c r="K24" s="119">
        <f t="shared" si="6"/>
        <v>-15528.057546337157</v>
      </c>
      <c r="L24" s="123">
        <f t="shared" si="7"/>
        <v>24171.040423654013</v>
      </c>
      <c r="M24" s="129">
        <f t="shared" si="8"/>
        <v>177693.70767872903</v>
      </c>
      <c r="N24" s="94">
        <f t="shared" si="9"/>
        <v>621122.30185348634</v>
      </c>
      <c r="O24" s="42"/>
      <c r="P24" s="43"/>
      <c r="Q24" s="42"/>
      <c r="R24" s="43"/>
      <c r="S24" s="42"/>
      <c r="T24" s="43"/>
      <c r="U24" s="42"/>
    </row>
    <row r="25" spans="1:25" x14ac:dyDescent="0.25">
      <c r="A25" s="63" t="s">
        <v>12</v>
      </c>
      <c r="B25" s="135">
        <v>1991</v>
      </c>
      <c r="C25" s="136">
        <v>0.01</v>
      </c>
      <c r="D25" s="135">
        <v>20</v>
      </c>
      <c r="E25" s="135">
        <f t="shared" si="0"/>
        <v>0</v>
      </c>
      <c r="F25" s="137">
        <f t="shared" si="1"/>
        <v>0</v>
      </c>
      <c r="G25" s="138">
        <f t="shared" si="2"/>
        <v>0</v>
      </c>
      <c r="H25" s="105">
        <f t="shared" si="5"/>
        <v>0</v>
      </c>
      <c r="I25" s="108">
        <f t="shared" si="3"/>
        <v>0</v>
      </c>
      <c r="J25" s="113">
        <f t="shared" si="4"/>
        <v>0</v>
      </c>
      <c r="K25" s="119">
        <f t="shared" si="6"/>
        <v>0</v>
      </c>
      <c r="L25" s="123">
        <f t="shared" si="7"/>
        <v>0</v>
      </c>
      <c r="M25" s="129">
        <f t="shared" si="8"/>
        <v>0</v>
      </c>
      <c r="N25" s="94">
        <f t="shared" si="9"/>
        <v>0</v>
      </c>
      <c r="O25" s="42"/>
      <c r="P25" s="43"/>
      <c r="Q25" s="42"/>
      <c r="R25" s="43"/>
      <c r="S25" s="42"/>
      <c r="T25" s="43"/>
      <c r="U25" s="42"/>
    </row>
    <row r="26" spans="1:25" x14ac:dyDescent="0.25">
      <c r="A26" s="67" t="s">
        <v>13</v>
      </c>
      <c r="B26" s="139">
        <v>1991</v>
      </c>
      <c r="C26" s="140">
        <v>0.13</v>
      </c>
      <c r="D26" s="139">
        <v>50</v>
      </c>
      <c r="E26" s="139">
        <f t="shared" si="0"/>
        <v>23</v>
      </c>
      <c r="F26" s="141">
        <f t="shared" si="1"/>
        <v>7.8477690288713906E-3</v>
      </c>
      <c r="G26" s="142">
        <f t="shared" si="2"/>
        <v>5.278022947925861E-2</v>
      </c>
      <c r="H26" s="106">
        <f t="shared" si="5"/>
        <v>2321444.6031774054</v>
      </c>
      <c r="I26" s="109">
        <f t="shared" si="3"/>
        <v>99394.303089143868</v>
      </c>
      <c r="J26" s="114">
        <f t="shared" si="4"/>
        <v>2222050.3000882617</v>
      </c>
      <c r="K26" s="119">
        <f t="shared" si="6"/>
        <v>-100932.37405119154</v>
      </c>
      <c r="L26" s="124">
        <f t="shared" si="7"/>
        <v>200326.67714033541</v>
      </c>
      <c r="M26" s="129">
        <f t="shared" si="8"/>
        <v>2121117.9260370703</v>
      </c>
      <c r="N26" s="94">
        <f t="shared" si="9"/>
        <v>5046618.7025595773</v>
      </c>
      <c r="O26" s="42"/>
      <c r="P26" s="43"/>
      <c r="Q26" s="42"/>
      <c r="R26" s="43"/>
      <c r="S26" s="42"/>
      <c r="T26" s="43"/>
      <c r="U26" s="42"/>
    </row>
    <row r="27" spans="1:25" x14ac:dyDescent="0.25">
      <c r="A27" s="80" t="s">
        <v>83</v>
      </c>
      <c r="B27" s="75" t="s">
        <v>72</v>
      </c>
      <c r="C27" s="76">
        <f>SUM(C11:C26)</f>
        <v>1.0000000000000002</v>
      </c>
      <c r="D27" s="81" t="s">
        <v>72</v>
      </c>
      <c r="E27" s="82" t="s">
        <v>72</v>
      </c>
      <c r="F27" s="79">
        <f t="shared" ref="F27:N27" si="10">SUM(F11:F26)</f>
        <v>0.14868766404199474</v>
      </c>
      <c r="G27" s="76">
        <f t="shared" si="10"/>
        <v>1</v>
      </c>
      <c r="H27" s="105">
        <f t="shared" si="10"/>
        <v>43983223.000000007</v>
      </c>
      <c r="I27" s="108">
        <f t="shared" si="10"/>
        <v>1883173.0000000007</v>
      </c>
      <c r="J27" s="115">
        <f t="shared" si="10"/>
        <v>42100050.000000015</v>
      </c>
      <c r="K27" s="120">
        <f t="shared" si="10"/>
        <v>-753110.7909973521</v>
      </c>
      <c r="L27" s="125">
        <f t="shared" si="10"/>
        <v>2636283.7909973525</v>
      </c>
      <c r="M27" s="131">
        <f t="shared" si="10"/>
        <v>41346939.209002666</v>
      </c>
      <c r="N27" s="97">
        <f t="shared" si="10"/>
        <v>85404316.504854396</v>
      </c>
      <c r="O27" s="43"/>
      <c r="P27" s="42"/>
      <c r="Q27" s="43"/>
      <c r="R27" s="42"/>
      <c r="S27" s="43"/>
      <c r="T27" s="42"/>
      <c r="U27" s="43"/>
    </row>
    <row r="28" spans="1:25" x14ac:dyDescent="0.25">
      <c r="A28" s="80" t="s">
        <v>84</v>
      </c>
      <c r="B28" s="83">
        <f t="shared" ref="B28:G28" si="11">AVERAGE(B11:B26)</f>
        <v>1981.375</v>
      </c>
      <c r="C28" s="84">
        <f t="shared" si="11"/>
        <v>6.2500000000000014E-2</v>
      </c>
      <c r="D28" s="75">
        <f t="shared" si="11"/>
        <v>59.6875</v>
      </c>
      <c r="E28" s="75">
        <f t="shared" si="11"/>
        <v>23.8125</v>
      </c>
      <c r="F28" s="78">
        <f t="shared" si="11"/>
        <v>9.2929790026246711E-3</v>
      </c>
      <c r="G28" s="84">
        <f t="shared" si="11"/>
        <v>6.25E-2</v>
      </c>
      <c r="H28" s="16"/>
      <c r="I28" s="16"/>
      <c r="J28" s="16"/>
      <c r="K28" s="11"/>
      <c r="L28" s="43"/>
      <c r="M28" s="42"/>
      <c r="N28" s="93"/>
      <c r="O28" s="43"/>
      <c r="P28" s="42"/>
      <c r="Q28" s="43"/>
      <c r="R28" s="42"/>
      <c r="S28" s="43"/>
      <c r="T28" s="42"/>
      <c r="U28" s="43"/>
      <c r="V28" s="42"/>
      <c r="W28" s="43"/>
      <c r="X28" s="40"/>
      <c r="Y28" s="40"/>
    </row>
    <row r="29" spans="1:25" x14ac:dyDescent="0.25">
      <c r="A29" s="80" t="s">
        <v>85</v>
      </c>
      <c r="B29" s="188">
        <f>SUMPRODUCT(B11:B26,C11:C26)/SUM(C11:C26)</f>
        <v>1962.7199999999993</v>
      </c>
      <c r="C29" s="90" t="s">
        <v>72</v>
      </c>
      <c r="D29" s="188">
        <f>SUMPRODUCT(D11:D26,C11:C26)/SUM(C11:C26)</f>
        <v>111.79999999999997</v>
      </c>
      <c r="E29" s="188">
        <f>SUMPRODUCT(E11:E26,C11:C26)/SUM(C11:C26)</f>
        <v>56.649999999999984</v>
      </c>
      <c r="F29" s="90" t="s">
        <v>72</v>
      </c>
      <c r="G29" s="90" t="s">
        <v>72</v>
      </c>
      <c r="H29" s="90"/>
      <c r="I29" s="16"/>
      <c r="J29" s="16"/>
      <c r="K29" s="11"/>
      <c r="L29" s="43"/>
      <c r="M29" s="42"/>
      <c r="N29" s="93"/>
      <c r="O29" s="43"/>
      <c r="P29" s="42"/>
      <c r="Q29" s="43"/>
      <c r="R29" s="42"/>
      <c r="S29" s="43"/>
      <c r="T29" s="42"/>
      <c r="U29" s="43"/>
      <c r="V29" s="42"/>
      <c r="W29" s="43"/>
      <c r="X29" s="40"/>
      <c r="Y29" s="40"/>
    </row>
    <row r="30" spans="1:25" x14ac:dyDescent="0.25">
      <c r="D30" s="16"/>
      <c r="E30" s="16"/>
      <c r="F30" s="14"/>
      <c r="G30" s="14"/>
      <c r="H30" s="14"/>
      <c r="I30" s="14"/>
    </row>
    <row r="31" spans="1:25" ht="30" x14ac:dyDescent="0.25">
      <c r="A31" s="132" t="s">
        <v>76</v>
      </c>
      <c r="B31" s="91" t="s">
        <v>71</v>
      </c>
      <c r="C31" s="91" t="s">
        <v>77</v>
      </c>
      <c r="D31" s="91" t="s">
        <v>78</v>
      </c>
      <c r="E31" s="104" t="s">
        <v>26</v>
      </c>
      <c r="F31" s="107" t="s">
        <v>27</v>
      </c>
      <c r="G31" s="133" t="s">
        <v>43</v>
      </c>
      <c r="H31" s="118" t="s">
        <v>86</v>
      </c>
      <c r="I31" s="122" t="s">
        <v>46</v>
      </c>
      <c r="J31" s="128" t="s">
        <v>47</v>
      </c>
      <c r="W31"/>
    </row>
    <row r="32" spans="1:25" x14ac:dyDescent="0.25">
      <c r="A32" s="64" t="s">
        <v>48</v>
      </c>
      <c r="B32" s="45">
        <v>42005</v>
      </c>
      <c r="C32" s="44">
        <v>15</v>
      </c>
      <c r="D32" s="46">
        <f t="shared" ref="D32:D38" si="12">IF(C32-ROUND(($B$8-B32)/365,2)&lt;0,0,C32-ROUND(($B$8-B32)/365,2))</f>
        <v>11</v>
      </c>
      <c r="E32" s="102">
        <v>611537</v>
      </c>
      <c r="F32" s="110">
        <v>46877</v>
      </c>
      <c r="G32" s="116">
        <v>554861</v>
      </c>
      <c r="H32" s="121">
        <f t="shared" ref="H32:H38" si="13">E32/C32*-1</f>
        <v>-40769.133333333331</v>
      </c>
      <c r="I32" s="126">
        <f t="shared" ref="I32:I38" si="14">F32-H32</f>
        <v>87646.133333333331</v>
      </c>
      <c r="J32" s="130">
        <f t="shared" ref="J32:J38" si="15">E32-I32</f>
        <v>523890.8666666667</v>
      </c>
      <c r="K32" s="42"/>
      <c r="L32" s="39"/>
      <c r="M32" s="42"/>
      <c r="N32" s="92"/>
      <c r="O32" s="39"/>
      <c r="P32" s="42"/>
      <c r="Q32" s="39"/>
      <c r="R32" s="42"/>
      <c r="S32" s="39"/>
      <c r="T32" s="42"/>
      <c r="W32"/>
    </row>
    <row r="33" spans="1:23" x14ac:dyDescent="0.25">
      <c r="A33" s="64" t="s">
        <v>49</v>
      </c>
      <c r="B33" s="45">
        <v>42005</v>
      </c>
      <c r="C33" s="44">
        <v>10</v>
      </c>
      <c r="D33" s="46">
        <f t="shared" si="12"/>
        <v>6</v>
      </c>
      <c r="E33" s="102">
        <v>504258</v>
      </c>
      <c r="F33" s="110">
        <v>55474</v>
      </c>
      <c r="G33" s="116">
        <v>458583</v>
      </c>
      <c r="H33" s="121">
        <f t="shared" si="13"/>
        <v>-50425.8</v>
      </c>
      <c r="I33" s="126">
        <f t="shared" si="14"/>
        <v>105899.8</v>
      </c>
      <c r="J33" s="130">
        <f t="shared" si="15"/>
        <v>398358.2</v>
      </c>
      <c r="K33" s="42"/>
      <c r="L33" s="39"/>
      <c r="M33" s="42"/>
      <c r="N33" s="92"/>
      <c r="O33" s="39"/>
      <c r="P33" s="42"/>
      <c r="Q33" s="39"/>
      <c r="R33" s="42"/>
      <c r="S33" s="39"/>
      <c r="T33" s="42"/>
      <c r="W33"/>
    </row>
    <row r="34" spans="1:23" x14ac:dyDescent="0.25">
      <c r="A34" s="64" t="s">
        <v>50</v>
      </c>
      <c r="B34" s="45">
        <v>42278</v>
      </c>
      <c r="C34" s="44">
        <v>10</v>
      </c>
      <c r="D34" s="46">
        <f t="shared" si="12"/>
        <v>6.75</v>
      </c>
      <c r="E34" s="102">
        <v>648475</v>
      </c>
      <c r="F34" s="110">
        <v>81192</v>
      </c>
      <c r="G34" s="116">
        <v>502436</v>
      </c>
      <c r="H34" s="121">
        <f t="shared" si="13"/>
        <v>-64847.5</v>
      </c>
      <c r="I34" s="126">
        <f t="shared" si="14"/>
        <v>146039.5</v>
      </c>
      <c r="J34" s="130">
        <f t="shared" si="15"/>
        <v>502435.5</v>
      </c>
      <c r="K34" s="42"/>
      <c r="L34" s="39"/>
      <c r="M34" s="42"/>
      <c r="N34" s="92"/>
      <c r="O34" s="39"/>
      <c r="P34" s="42"/>
      <c r="Q34" s="39"/>
      <c r="R34" s="42"/>
      <c r="S34" s="39"/>
      <c r="T34" s="42"/>
      <c r="W34"/>
    </row>
    <row r="35" spans="1:23" s="14" customFormat="1" x14ac:dyDescent="0.25">
      <c r="A35" s="65" t="s">
        <v>51</v>
      </c>
      <c r="B35" s="60">
        <v>38353</v>
      </c>
      <c r="C35" s="59">
        <v>25</v>
      </c>
      <c r="D35" s="61">
        <f t="shared" si="12"/>
        <v>10.99</v>
      </c>
      <c r="E35" s="102">
        <v>1245359</v>
      </c>
      <c r="F35" s="110">
        <v>398512</v>
      </c>
      <c r="G35" s="116">
        <v>846847</v>
      </c>
      <c r="H35" s="121">
        <f t="shared" si="13"/>
        <v>-49814.36</v>
      </c>
      <c r="I35" s="126">
        <f t="shared" si="14"/>
        <v>448326.36</v>
      </c>
      <c r="J35" s="130">
        <f t="shared" si="15"/>
        <v>797032.64</v>
      </c>
      <c r="K35" s="42"/>
      <c r="L35" s="39"/>
      <c r="M35" s="42"/>
      <c r="N35" s="92"/>
      <c r="O35" s="39"/>
      <c r="P35" s="42"/>
      <c r="Q35" s="39"/>
      <c r="R35" s="42"/>
      <c r="S35" s="39"/>
      <c r="T35" s="42"/>
      <c r="U35" s="40"/>
      <c r="V35" s="40"/>
    </row>
    <row r="36" spans="1:23" x14ac:dyDescent="0.25">
      <c r="A36" s="64" t="s">
        <v>52</v>
      </c>
      <c r="B36" s="45">
        <v>43100</v>
      </c>
      <c r="C36" s="44">
        <v>10</v>
      </c>
      <c r="D36" s="46">
        <f t="shared" si="12"/>
        <v>9</v>
      </c>
      <c r="E36" s="102">
        <v>94708</v>
      </c>
      <c r="F36" s="110">
        <v>17479</v>
      </c>
      <c r="G36" s="116">
        <f>E36+H36*(C36-D36)</f>
        <v>85237.2</v>
      </c>
      <c r="H36" s="121">
        <f t="shared" si="13"/>
        <v>-9470.7999999999993</v>
      </c>
      <c r="I36" s="126">
        <f t="shared" si="14"/>
        <v>26949.8</v>
      </c>
      <c r="J36" s="130">
        <f t="shared" si="15"/>
        <v>67758.2</v>
      </c>
      <c r="K36" s="42"/>
      <c r="L36" s="39"/>
      <c r="M36" s="42"/>
      <c r="N36" s="92"/>
      <c r="O36" s="39"/>
      <c r="P36" s="42"/>
      <c r="Q36" s="39"/>
      <c r="R36" s="42"/>
      <c r="S36" s="39"/>
      <c r="T36" s="42"/>
      <c r="W36"/>
    </row>
    <row r="37" spans="1:23" x14ac:dyDescent="0.25">
      <c r="A37" s="64" t="s">
        <v>73</v>
      </c>
      <c r="B37" s="45">
        <v>43009</v>
      </c>
      <c r="C37" s="44">
        <v>50</v>
      </c>
      <c r="D37" s="46">
        <f t="shared" si="12"/>
        <v>48.75</v>
      </c>
      <c r="E37" s="102">
        <v>2621293</v>
      </c>
      <c r="F37" s="110">
        <v>17475</v>
      </c>
      <c r="G37" s="116">
        <f>E37+H37*(C37-D37)</f>
        <v>2555760.6749999998</v>
      </c>
      <c r="H37" s="121">
        <f t="shared" si="13"/>
        <v>-52425.86</v>
      </c>
      <c r="I37" s="126">
        <f t="shared" si="14"/>
        <v>69900.86</v>
      </c>
      <c r="J37" s="130">
        <f t="shared" si="15"/>
        <v>2551392.14</v>
      </c>
      <c r="K37" s="42"/>
      <c r="L37" s="39"/>
      <c r="M37" s="42"/>
      <c r="N37" s="92"/>
      <c r="O37" s="39"/>
      <c r="P37" s="42"/>
      <c r="Q37" s="39"/>
      <c r="R37" s="42"/>
      <c r="S37" s="39"/>
      <c r="T37" s="42"/>
      <c r="W37"/>
    </row>
    <row r="38" spans="1:23" x14ac:dyDescent="0.25">
      <c r="A38" s="64" t="s">
        <v>54</v>
      </c>
      <c r="B38" s="45">
        <v>43281</v>
      </c>
      <c r="C38" s="44">
        <v>10</v>
      </c>
      <c r="D38" s="46">
        <f t="shared" si="12"/>
        <v>9.5</v>
      </c>
      <c r="E38" s="102">
        <v>154282</v>
      </c>
      <c r="F38" s="110">
        <v>5143</v>
      </c>
      <c r="G38" s="116">
        <f>E38+H38*(C38-D38)</f>
        <v>146567.9</v>
      </c>
      <c r="H38" s="121">
        <f t="shared" si="13"/>
        <v>-15428.2</v>
      </c>
      <c r="I38" s="126">
        <f t="shared" si="14"/>
        <v>20571.2</v>
      </c>
      <c r="J38" s="130">
        <f t="shared" si="15"/>
        <v>133710.79999999999</v>
      </c>
      <c r="K38" s="42"/>
      <c r="L38" s="39"/>
      <c r="M38" s="42"/>
      <c r="N38" s="92"/>
      <c r="O38" s="39"/>
      <c r="P38" s="42"/>
      <c r="Q38" s="39"/>
      <c r="R38" s="42"/>
      <c r="S38" s="39"/>
      <c r="T38" s="42"/>
      <c r="W38"/>
    </row>
    <row r="39" spans="1:23" x14ac:dyDescent="0.25">
      <c r="A39" s="51"/>
      <c r="B39" s="52"/>
      <c r="C39" s="52"/>
      <c r="D39" s="32"/>
      <c r="E39" s="103">
        <f t="shared" ref="E39:J39" si="16">SUM(E32:E38)</f>
        <v>5879912</v>
      </c>
      <c r="F39" s="111">
        <f t="shared" si="16"/>
        <v>622152</v>
      </c>
      <c r="G39" s="117">
        <f t="shared" si="16"/>
        <v>5150292.7750000004</v>
      </c>
      <c r="H39" s="120">
        <f t="shared" si="16"/>
        <v>-283181.65333333332</v>
      </c>
      <c r="I39" s="127">
        <f t="shared" si="16"/>
        <v>905333.65333333332</v>
      </c>
      <c r="J39" s="131">
        <f t="shared" si="16"/>
        <v>4974578.3466666667</v>
      </c>
      <c r="W39"/>
    </row>
    <row r="40" spans="1:23" x14ac:dyDescent="0.25">
      <c r="A40" s="37"/>
      <c r="B40" s="38"/>
      <c r="C40" s="38"/>
      <c r="I40" s="40"/>
      <c r="W40"/>
    </row>
    <row r="41" spans="1:23" x14ac:dyDescent="0.25">
      <c r="A41" s="12"/>
      <c r="B41" s="11"/>
      <c r="C41" s="11"/>
      <c r="I41" s="40"/>
      <c r="W41"/>
    </row>
    <row r="42" spans="1:23" x14ac:dyDescent="0.25">
      <c r="A42" s="54" t="s">
        <v>55</v>
      </c>
      <c r="B42" s="55"/>
      <c r="C42" s="55"/>
      <c r="D42" s="56"/>
      <c r="E42" s="56">
        <f t="shared" ref="E42:J42" si="17">H27+E39</f>
        <v>49863135.000000007</v>
      </c>
      <c r="F42" s="57">
        <f t="shared" si="17"/>
        <v>2505325.0000000009</v>
      </c>
      <c r="G42" s="57">
        <f t="shared" si="17"/>
        <v>47250342.775000013</v>
      </c>
      <c r="H42" s="57">
        <f t="shared" si="17"/>
        <v>-1036292.4443306854</v>
      </c>
      <c r="I42" s="58">
        <f t="shared" si="17"/>
        <v>3541617.4443306858</v>
      </c>
      <c r="J42" s="58">
        <f t="shared" si="17"/>
        <v>46321517.55566933</v>
      </c>
      <c r="W42"/>
    </row>
    <row r="46" spans="1:23" x14ac:dyDescent="0.25">
      <c r="H46" s="40"/>
      <c r="I46" s="40"/>
      <c r="U46"/>
      <c r="V46"/>
      <c r="W46"/>
    </row>
    <row r="47" spans="1:23" x14ac:dyDescent="0.25">
      <c r="A47" t="s">
        <v>57</v>
      </c>
      <c r="H47" s="40"/>
      <c r="I47" s="40"/>
      <c r="U47"/>
      <c r="V47"/>
      <c r="W47"/>
    </row>
    <row r="48" spans="1:23" x14ac:dyDescent="0.25">
      <c r="B48" t="s">
        <v>59</v>
      </c>
      <c r="H48" s="40"/>
      <c r="I48" s="40"/>
      <c r="U48"/>
      <c r="V48"/>
      <c r="W48"/>
    </row>
    <row r="49" spans="2:23" x14ac:dyDescent="0.25">
      <c r="B49" t="s">
        <v>56</v>
      </c>
      <c r="H49" s="40"/>
      <c r="I49" s="40"/>
      <c r="U49"/>
      <c r="V49"/>
      <c r="W49"/>
    </row>
    <row r="50" spans="2:23" x14ac:dyDescent="0.25">
      <c r="H50" s="40"/>
      <c r="I50" s="40"/>
      <c r="U50"/>
      <c r="V50"/>
      <c r="W50"/>
    </row>
    <row r="51" spans="2:23" x14ac:dyDescent="0.25">
      <c r="B51" t="s">
        <v>58</v>
      </c>
      <c r="H51" s="40"/>
      <c r="I51" s="40"/>
      <c r="U51"/>
      <c r="V51"/>
      <c r="W51"/>
    </row>
    <row r="52" spans="2:23" x14ac:dyDescent="0.25">
      <c r="H52" s="40"/>
      <c r="I52" s="40"/>
      <c r="U52"/>
      <c r="V52"/>
      <c r="W52"/>
    </row>
    <row r="53" spans="2:23" x14ac:dyDescent="0.25">
      <c r="H53" s="40"/>
      <c r="I53" s="40"/>
      <c r="U53"/>
      <c r="V53"/>
      <c r="W53"/>
    </row>
    <row r="54" spans="2:23" x14ac:dyDescent="0.25">
      <c r="H54" s="40"/>
      <c r="I54" s="40"/>
      <c r="U54"/>
      <c r="V54"/>
      <c r="W54"/>
    </row>
    <row r="55" spans="2:23" x14ac:dyDescent="0.25">
      <c r="H55" s="40"/>
      <c r="I55" s="40"/>
      <c r="U55"/>
      <c r="V55"/>
      <c r="W55"/>
    </row>
    <row r="56" spans="2:23" x14ac:dyDescent="0.25">
      <c r="H56" s="40"/>
      <c r="I56" s="40"/>
      <c r="U56"/>
      <c r="V56"/>
      <c r="W56"/>
    </row>
    <row r="57" spans="2:23" x14ac:dyDescent="0.25">
      <c r="H57" s="40"/>
      <c r="I57" s="40"/>
      <c r="U57"/>
      <c r="V57"/>
      <c r="W57"/>
    </row>
    <row r="58" spans="2:23" x14ac:dyDescent="0.25">
      <c r="H58" s="40"/>
      <c r="I58" s="40"/>
      <c r="U58"/>
      <c r="V58"/>
      <c r="W58"/>
    </row>
    <row r="59" spans="2:23" x14ac:dyDescent="0.25">
      <c r="H59" s="40"/>
      <c r="I59" s="40"/>
      <c r="U59"/>
      <c r="V59"/>
      <c r="W59"/>
    </row>
    <row r="60" spans="2:23" x14ac:dyDescent="0.25">
      <c r="H60" s="40"/>
      <c r="I60" s="40"/>
      <c r="U60"/>
      <c r="V60"/>
      <c r="W60"/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showGridLines="0" topLeftCell="A10" workbookViewId="0">
      <selection activeCell="M10" sqref="M10:M27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4.140625" style="3" customWidth="1"/>
    <col min="6" max="7" width="13.5703125" customWidth="1"/>
    <col min="8" max="8" width="13.5703125" bestFit="1" customWidth="1"/>
    <col min="9" max="9" width="16.140625" customWidth="1"/>
    <col min="10" max="10" width="15.85546875" style="40" customWidth="1"/>
    <col min="11" max="11" width="15" style="40" customWidth="1"/>
    <col min="12" max="12" width="15.140625" style="40" customWidth="1"/>
    <col min="13" max="13" width="15.42578125" style="40" customWidth="1"/>
    <col min="14" max="14" width="14.85546875" style="95" customWidth="1"/>
    <col min="15" max="15" width="13.42578125" style="40" customWidth="1"/>
    <col min="16" max="16" width="13.28515625" style="40" bestFit="1" customWidth="1"/>
    <col min="17" max="17" width="12.42578125" style="40" customWidth="1"/>
    <col min="18" max="18" width="13.28515625" style="40" bestFit="1" customWidth="1"/>
    <col min="19" max="19" width="12.42578125" style="40" customWidth="1"/>
    <col min="20" max="20" width="15.5703125" style="40" customWidth="1"/>
    <col min="21" max="21" width="12.140625" style="40" customWidth="1"/>
    <col min="22" max="22" width="14.28515625" style="40" customWidth="1"/>
    <col min="23" max="24" width="9.140625" style="40"/>
  </cols>
  <sheetData>
    <row r="1" spans="1:26" x14ac:dyDescent="0.25">
      <c r="A1" s="1" t="s">
        <v>44</v>
      </c>
    </row>
    <row r="2" spans="1:26" x14ac:dyDescent="0.25">
      <c r="A2" s="40" t="s">
        <v>103</v>
      </c>
      <c r="E2"/>
      <c r="F2" s="40"/>
      <c r="G2" s="40"/>
      <c r="H2" s="40"/>
      <c r="I2" s="40"/>
      <c r="U2"/>
      <c r="V2"/>
      <c r="W2"/>
      <c r="X2"/>
    </row>
    <row r="3" spans="1:26" x14ac:dyDescent="0.25">
      <c r="A3" s="40" t="s">
        <v>104</v>
      </c>
      <c r="B3" s="14"/>
      <c r="C3" s="14"/>
      <c r="E3"/>
      <c r="F3" s="40"/>
      <c r="G3" s="40"/>
      <c r="H3" s="40"/>
      <c r="I3" s="40"/>
      <c r="U3"/>
      <c r="V3"/>
      <c r="W3"/>
      <c r="X3"/>
    </row>
    <row r="4" spans="1:26" x14ac:dyDescent="0.25">
      <c r="B4" s="14"/>
      <c r="C4" s="14"/>
      <c r="D4" s="16"/>
      <c r="E4" s="1" t="s">
        <v>44</v>
      </c>
      <c r="F4" s="40"/>
      <c r="G4" s="40"/>
      <c r="H4" s="40"/>
      <c r="I4" s="40"/>
      <c r="U4"/>
      <c r="V4"/>
      <c r="W4"/>
      <c r="X4"/>
    </row>
    <row r="5" spans="1:26" x14ac:dyDescent="0.25">
      <c r="A5" s="99" t="s">
        <v>20</v>
      </c>
      <c r="B5" s="254">
        <v>43983223</v>
      </c>
      <c r="C5" s="255"/>
      <c r="D5" s="16"/>
      <c r="E5" s="40" t="s">
        <v>103</v>
      </c>
      <c r="G5" s="40"/>
      <c r="H5" s="40"/>
      <c r="I5" s="40"/>
      <c r="V5"/>
      <c r="W5"/>
      <c r="X5"/>
    </row>
    <row r="6" spans="1:26" x14ac:dyDescent="0.25">
      <c r="A6" s="99" t="s">
        <v>21</v>
      </c>
      <c r="B6" s="254">
        <v>1883173</v>
      </c>
      <c r="C6" s="255"/>
      <c r="D6" s="16"/>
      <c r="E6" s="40" t="s">
        <v>102</v>
      </c>
      <c r="F6" s="8"/>
      <c r="G6" s="8"/>
    </row>
    <row r="7" spans="1:26" x14ac:dyDescent="0.25">
      <c r="A7" s="100" t="s">
        <v>75</v>
      </c>
      <c r="B7" s="256">
        <v>2018</v>
      </c>
      <c r="C7" s="257"/>
    </row>
    <row r="8" spans="1:26" x14ac:dyDescent="0.25">
      <c r="A8" s="101" t="s">
        <v>37</v>
      </c>
      <c r="B8" s="258">
        <v>43465</v>
      </c>
      <c r="C8" s="259"/>
    </row>
    <row r="10" spans="1:26" ht="45" x14ac:dyDescent="0.25">
      <c r="A10" s="89" t="s">
        <v>76</v>
      </c>
      <c r="B10" s="134" t="s">
        <v>71</v>
      </c>
      <c r="C10" s="134" t="s">
        <v>91</v>
      </c>
      <c r="D10" s="134" t="s">
        <v>89</v>
      </c>
      <c r="E10" s="134" t="s">
        <v>78</v>
      </c>
      <c r="F10" s="134" t="s">
        <v>79</v>
      </c>
      <c r="G10" s="134" t="s">
        <v>80</v>
      </c>
      <c r="H10" s="104" t="s">
        <v>26</v>
      </c>
      <c r="I10" s="107" t="s">
        <v>27</v>
      </c>
      <c r="J10" s="112" t="s">
        <v>43</v>
      </c>
      <c r="K10" s="118" t="s">
        <v>45</v>
      </c>
      <c r="L10" s="122" t="s">
        <v>46</v>
      </c>
      <c r="M10" s="128" t="s">
        <v>47</v>
      </c>
      <c r="N10" s="96" t="s">
        <v>87</v>
      </c>
      <c r="O10" s="96" t="s">
        <v>92</v>
      </c>
      <c r="P10" s="96" t="s">
        <v>94</v>
      </c>
      <c r="Q10" s="39"/>
      <c r="R10" s="41"/>
      <c r="S10" s="39"/>
      <c r="T10" s="41"/>
      <c r="U10" s="39"/>
      <c r="V10" s="41"/>
      <c r="W10" s="39"/>
      <c r="X10" s="41"/>
      <c r="Y10" s="40"/>
      <c r="Z10" s="40"/>
    </row>
    <row r="11" spans="1:26" x14ac:dyDescent="0.25">
      <c r="A11" s="63" t="s">
        <v>1</v>
      </c>
      <c r="B11" s="135">
        <v>1937</v>
      </c>
      <c r="C11" s="136">
        <v>0.3</v>
      </c>
      <c r="D11" s="194">
        <v>200</v>
      </c>
      <c r="E11" s="206">
        <f t="shared" ref="E11:E26" si="0">IF(D11-($B$7-B11)&gt;0,D11-($B$7-B11),0)</f>
        <v>119</v>
      </c>
      <c r="F11" s="200">
        <f t="shared" ref="F11:F26" si="1">E11/SUM($E$11:$E$26)*C11</f>
        <v>8.8148148148148156E-2</v>
      </c>
      <c r="G11" s="138">
        <f t="shared" ref="G11:G26" si="2">F11/$F$27</f>
        <v>0.62227645110685037</v>
      </c>
      <c r="H11" s="105">
        <f>$B$5*G11</f>
        <v>27369723.916681197</v>
      </c>
      <c r="I11" s="108">
        <f t="shared" ref="I11:I26" si="3">G11*$B$6</f>
        <v>1171854.2112602408</v>
      </c>
      <c r="J11" s="113">
        <f t="shared" ref="J11:J26" si="4">H11-I11</f>
        <v>26197869.705420956</v>
      </c>
      <c r="K11" s="119">
        <f>IFERROR(H11/E11*-1,0)</f>
        <v>-229997.6799721109</v>
      </c>
      <c r="L11" s="123">
        <f>I11-K11</f>
        <v>1401851.8912323518</v>
      </c>
      <c r="M11" s="129">
        <f>J11+K11</f>
        <v>25967872.025448844</v>
      </c>
      <c r="N11" s="94">
        <f>K11*D11*-1</f>
        <v>45999535.994422182</v>
      </c>
      <c r="O11" s="144">
        <f>ROUND(C11/$C$27,3)</f>
        <v>0.314</v>
      </c>
      <c r="P11" s="144">
        <v>0.3</v>
      </c>
      <c r="Q11" s="43"/>
      <c r="R11" s="143"/>
      <c r="S11" s="43"/>
      <c r="T11" s="42"/>
      <c r="U11" s="43"/>
      <c r="V11" s="42"/>
      <c r="W11" s="43"/>
      <c r="X11" s="42"/>
      <c r="Y11" s="40"/>
      <c r="Z11" s="40"/>
    </row>
    <row r="12" spans="1:26" x14ac:dyDescent="0.25">
      <c r="A12" s="63" t="s">
        <v>2</v>
      </c>
      <c r="B12" s="135">
        <v>1937</v>
      </c>
      <c r="C12" s="136">
        <v>0.19</v>
      </c>
      <c r="D12" s="194">
        <v>150</v>
      </c>
      <c r="E12" s="206">
        <f t="shared" si="0"/>
        <v>69</v>
      </c>
      <c r="F12" s="200">
        <f t="shared" si="1"/>
        <v>3.2370370370370369E-2</v>
      </c>
      <c r="G12" s="138">
        <f t="shared" si="2"/>
        <v>0.22851664633083493</v>
      </c>
      <c r="H12" s="105">
        <f t="shared" ref="H12:H26" si="5">$B$5*G12</f>
        <v>10050898.614781244</v>
      </c>
      <c r="I12" s="108">
        <f t="shared" si="3"/>
        <v>430336.37842077739</v>
      </c>
      <c r="J12" s="113">
        <f t="shared" si="4"/>
        <v>9620562.2363604661</v>
      </c>
      <c r="K12" s="119">
        <f t="shared" ref="K12:K26" si="6">IFERROR(H12/E12*-1,0)</f>
        <v>-145665.1973156702</v>
      </c>
      <c r="L12" s="123">
        <f t="shared" ref="L12:L26" si="7">I12-K12</f>
        <v>576001.57573644759</v>
      </c>
      <c r="M12" s="129">
        <f t="shared" ref="M12:M26" si="8">J12+K12</f>
        <v>9474897.0390447956</v>
      </c>
      <c r="N12" s="94">
        <f t="shared" ref="N12:N26" si="9">K12*D12*-1</f>
        <v>21849779.59735053</v>
      </c>
      <c r="O12" s="144">
        <f t="shared" ref="O12:O25" si="10">ROUND(C12/$C$27,3)</f>
        <v>0.19900000000000001</v>
      </c>
      <c r="P12" s="144">
        <v>0.19</v>
      </c>
      <c r="Q12" s="43"/>
      <c r="R12" s="143"/>
      <c r="S12" s="43"/>
      <c r="T12" s="42"/>
      <c r="U12" s="43"/>
      <c r="V12" s="42"/>
      <c r="W12" s="43"/>
      <c r="X12" s="42"/>
      <c r="Y12" s="40"/>
      <c r="Z12" s="40"/>
    </row>
    <row r="13" spans="1:26" x14ac:dyDescent="0.25">
      <c r="A13" s="63" t="s">
        <v>81</v>
      </c>
      <c r="B13" s="135">
        <v>1992</v>
      </c>
      <c r="C13" s="192">
        <v>0.02</v>
      </c>
      <c r="D13" s="135">
        <v>50</v>
      </c>
      <c r="E13" s="206">
        <f t="shared" si="0"/>
        <v>24</v>
      </c>
      <c r="F13" s="200">
        <f t="shared" si="1"/>
        <v>1.1851851851851852E-3</v>
      </c>
      <c r="G13" s="138">
        <f t="shared" si="2"/>
        <v>8.3667421997559704E-3</v>
      </c>
      <c r="H13" s="105">
        <f t="shared" si="5"/>
        <v>367996.28795537737</v>
      </c>
      <c r="I13" s="108">
        <f t="shared" si="3"/>
        <v>15756.023008541049</v>
      </c>
      <c r="J13" s="113">
        <f t="shared" si="4"/>
        <v>352240.26494683634</v>
      </c>
      <c r="K13" s="119">
        <f t="shared" si="6"/>
        <v>-15333.17866480739</v>
      </c>
      <c r="L13" s="123">
        <f t="shared" si="7"/>
        <v>31089.201673348442</v>
      </c>
      <c r="M13" s="129">
        <f t="shared" si="8"/>
        <v>336907.08628202893</v>
      </c>
      <c r="N13" s="94">
        <f t="shared" si="9"/>
        <v>766658.93324036954</v>
      </c>
      <c r="O13" s="144">
        <f t="shared" si="10"/>
        <v>2.1000000000000001E-2</v>
      </c>
      <c r="P13" s="144">
        <v>0.12</v>
      </c>
      <c r="Q13" s="43"/>
      <c r="R13" s="143"/>
      <c r="S13" s="43"/>
      <c r="T13" s="42"/>
      <c r="U13" s="43"/>
      <c r="V13" s="42"/>
      <c r="W13" s="43"/>
      <c r="X13" s="42"/>
      <c r="Y13" s="40"/>
      <c r="Z13" s="40"/>
    </row>
    <row r="14" spans="1:26" x14ac:dyDescent="0.25">
      <c r="A14" s="64" t="s">
        <v>73</v>
      </c>
      <c r="B14" s="135">
        <v>1937</v>
      </c>
      <c r="C14" s="136">
        <v>0.03</v>
      </c>
      <c r="D14" s="135">
        <v>60</v>
      </c>
      <c r="E14" s="206">
        <f t="shared" si="0"/>
        <v>0</v>
      </c>
      <c r="F14" s="200">
        <f t="shared" si="1"/>
        <v>0</v>
      </c>
      <c r="G14" s="138">
        <f t="shared" si="2"/>
        <v>0</v>
      </c>
      <c r="H14" s="105">
        <f t="shared" si="5"/>
        <v>0</v>
      </c>
      <c r="I14" s="108">
        <f t="shared" si="3"/>
        <v>0</v>
      </c>
      <c r="J14" s="113">
        <f t="shared" si="4"/>
        <v>0</v>
      </c>
      <c r="K14" s="119">
        <f t="shared" si="6"/>
        <v>0</v>
      </c>
      <c r="L14" s="123">
        <f t="shared" si="7"/>
        <v>0</v>
      </c>
      <c r="M14" s="129">
        <f t="shared" si="8"/>
        <v>0</v>
      </c>
      <c r="N14" s="94">
        <f t="shared" si="9"/>
        <v>0</v>
      </c>
      <c r="O14" s="144">
        <f t="shared" si="10"/>
        <v>3.1E-2</v>
      </c>
      <c r="P14" s="144"/>
      <c r="Q14" s="43"/>
      <c r="R14" s="143"/>
      <c r="S14" s="43"/>
      <c r="T14" s="42"/>
      <c r="U14" s="43"/>
      <c r="V14" s="42"/>
      <c r="W14" s="43"/>
      <c r="X14" s="42"/>
      <c r="Y14" s="40"/>
      <c r="Z14" s="40"/>
    </row>
    <row r="15" spans="1:26" x14ac:dyDescent="0.25">
      <c r="A15" s="64" t="s">
        <v>74</v>
      </c>
      <c r="B15" s="135">
        <v>1992</v>
      </c>
      <c r="C15" s="136">
        <v>0.03</v>
      </c>
      <c r="D15" s="135">
        <v>50</v>
      </c>
      <c r="E15" s="206">
        <f t="shared" si="0"/>
        <v>24</v>
      </c>
      <c r="F15" s="200">
        <f t="shared" si="1"/>
        <v>1.7777777777777779E-3</v>
      </c>
      <c r="G15" s="138">
        <f t="shared" si="2"/>
        <v>1.2550113299633956E-2</v>
      </c>
      <c r="H15" s="105">
        <f t="shared" si="5"/>
        <v>551994.43193306611</v>
      </c>
      <c r="I15" s="108">
        <f t="shared" si="3"/>
        <v>23634.034512811577</v>
      </c>
      <c r="J15" s="113">
        <f t="shared" si="4"/>
        <v>528360.39742025454</v>
      </c>
      <c r="K15" s="119">
        <f t="shared" si="6"/>
        <v>-22999.767997211089</v>
      </c>
      <c r="L15" s="123">
        <f t="shared" si="7"/>
        <v>46633.802510022666</v>
      </c>
      <c r="M15" s="129">
        <f t="shared" si="8"/>
        <v>505360.62942304346</v>
      </c>
      <c r="N15" s="94">
        <f t="shared" si="9"/>
        <v>1149988.3998605544</v>
      </c>
      <c r="O15" s="144">
        <f t="shared" si="10"/>
        <v>3.1E-2</v>
      </c>
      <c r="P15" s="144"/>
      <c r="Q15" s="43"/>
      <c r="R15" s="143"/>
      <c r="S15" s="43"/>
      <c r="T15" s="42"/>
      <c r="U15" s="43"/>
      <c r="V15" s="42"/>
      <c r="W15" s="43"/>
      <c r="X15" s="42"/>
      <c r="Y15" s="40"/>
      <c r="Z15" s="40"/>
    </row>
    <row r="16" spans="1:26" x14ac:dyDescent="0.25">
      <c r="A16" s="64" t="s">
        <v>82</v>
      </c>
      <c r="B16" s="135">
        <v>1992</v>
      </c>
      <c r="C16" s="136">
        <v>0.03</v>
      </c>
      <c r="D16" s="135">
        <v>40</v>
      </c>
      <c r="E16" s="206">
        <f t="shared" si="0"/>
        <v>14</v>
      </c>
      <c r="F16" s="200">
        <f t="shared" si="1"/>
        <v>1.0370370370370368E-3</v>
      </c>
      <c r="G16" s="138">
        <f t="shared" si="2"/>
        <v>7.3208994247864721E-3</v>
      </c>
      <c r="H16" s="105">
        <f t="shared" si="5"/>
        <v>321996.75196095515</v>
      </c>
      <c r="I16" s="108">
        <f t="shared" si="3"/>
        <v>13786.520132473415</v>
      </c>
      <c r="J16" s="113">
        <f t="shared" si="4"/>
        <v>308210.23182848172</v>
      </c>
      <c r="K16" s="119">
        <f t="shared" si="6"/>
        <v>-22999.767997211082</v>
      </c>
      <c r="L16" s="123">
        <f t="shared" si="7"/>
        <v>36786.288129684501</v>
      </c>
      <c r="M16" s="129">
        <f t="shared" si="8"/>
        <v>285210.46383127064</v>
      </c>
      <c r="N16" s="94">
        <f t="shared" si="9"/>
        <v>919990.71988844324</v>
      </c>
      <c r="O16" s="144">
        <f t="shared" si="10"/>
        <v>3.1E-2</v>
      </c>
      <c r="P16" s="144"/>
      <c r="Q16" s="43"/>
      <c r="R16" s="143"/>
      <c r="S16" s="43"/>
      <c r="T16" s="42"/>
      <c r="U16" s="43"/>
      <c r="V16" s="42"/>
      <c r="W16" s="43"/>
      <c r="X16" s="42"/>
      <c r="Y16" s="40"/>
      <c r="Z16" s="40"/>
    </row>
    <row r="17" spans="1:26" x14ac:dyDescent="0.25">
      <c r="A17" s="63" t="s">
        <v>4</v>
      </c>
      <c r="B17" s="135">
        <v>1992</v>
      </c>
      <c r="C17" s="192">
        <v>0.06</v>
      </c>
      <c r="D17" s="135">
        <v>40</v>
      </c>
      <c r="E17" s="206">
        <f t="shared" si="0"/>
        <v>14</v>
      </c>
      <c r="F17" s="200">
        <f t="shared" si="1"/>
        <v>2.0740740740740737E-3</v>
      </c>
      <c r="G17" s="138">
        <f t="shared" si="2"/>
        <v>1.4641798849572944E-2</v>
      </c>
      <c r="H17" s="105">
        <f t="shared" si="5"/>
        <v>643993.50392191031</v>
      </c>
      <c r="I17" s="108">
        <f t="shared" si="3"/>
        <v>27573.040264946831</v>
      </c>
      <c r="J17" s="113">
        <f t="shared" si="4"/>
        <v>616420.46365696343</v>
      </c>
      <c r="K17" s="119">
        <f t="shared" si="6"/>
        <v>-45999.535994422164</v>
      </c>
      <c r="L17" s="123">
        <f t="shared" si="7"/>
        <v>73572.576259369001</v>
      </c>
      <c r="M17" s="129">
        <f t="shared" si="8"/>
        <v>570420.92766254127</v>
      </c>
      <c r="N17" s="94">
        <f t="shared" si="9"/>
        <v>1839981.4397768865</v>
      </c>
      <c r="O17" s="144">
        <f t="shared" si="10"/>
        <v>6.3E-2</v>
      </c>
      <c r="P17" s="144">
        <v>0.08</v>
      </c>
      <c r="Q17" s="43"/>
      <c r="R17" s="143"/>
      <c r="S17" s="43"/>
      <c r="T17" s="42"/>
      <c r="U17" s="43"/>
      <c r="V17" s="42"/>
      <c r="W17" s="43"/>
      <c r="X17" s="42"/>
      <c r="Y17" s="40"/>
      <c r="Z17" s="40"/>
    </row>
    <row r="18" spans="1:26" x14ac:dyDescent="0.25">
      <c r="A18" s="63" t="s">
        <v>5</v>
      </c>
      <c r="B18" s="135">
        <v>1992</v>
      </c>
      <c r="C18" s="136">
        <v>0</v>
      </c>
      <c r="D18" s="194">
        <v>25</v>
      </c>
      <c r="E18" s="206">
        <f t="shared" si="0"/>
        <v>0</v>
      </c>
      <c r="F18" s="200">
        <f t="shared" si="1"/>
        <v>0</v>
      </c>
      <c r="G18" s="138">
        <f t="shared" si="2"/>
        <v>0</v>
      </c>
      <c r="H18" s="105">
        <f t="shared" si="5"/>
        <v>0</v>
      </c>
      <c r="I18" s="108">
        <f t="shared" si="3"/>
        <v>0</v>
      </c>
      <c r="J18" s="113">
        <f t="shared" si="4"/>
        <v>0</v>
      </c>
      <c r="K18" s="119">
        <f t="shared" si="6"/>
        <v>0</v>
      </c>
      <c r="L18" s="123">
        <f t="shared" si="7"/>
        <v>0</v>
      </c>
      <c r="M18" s="129">
        <f t="shared" si="8"/>
        <v>0</v>
      </c>
      <c r="N18" s="94">
        <f t="shared" si="9"/>
        <v>0</v>
      </c>
      <c r="O18" s="144">
        <f t="shared" si="10"/>
        <v>0</v>
      </c>
      <c r="P18" s="144">
        <v>0</v>
      </c>
      <c r="Q18" s="43"/>
      <c r="R18" s="143"/>
      <c r="S18" s="43"/>
      <c r="T18" s="42"/>
      <c r="U18" s="43"/>
      <c r="V18" s="42"/>
      <c r="W18" s="43"/>
      <c r="X18" s="42"/>
      <c r="Y18" s="40"/>
      <c r="Z18" s="40"/>
    </row>
    <row r="19" spans="1:26" x14ac:dyDescent="0.25">
      <c r="A19" s="63" t="s">
        <v>6</v>
      </c>
      <c r="B19" s="135">
        <v>1992</v>
      </c>
      <c r="C19" s="136">
        <v>0.05</v>
      </c>
      <c r="D19" s="135">
        <v>50</v>
      </c>
      <c r="E19" s="206">
        <f t="shared" si="0"/>
        <v>24</v>
      </c>
      <c r="F19" s="200">
        <f t="shared" si="1"/>
        <v>2.9629629629629632E-3</v>
      </c>
      <c r="G19" s="138">
        <f t="shared" si="2"/>
        <v>2.0916855499389927E-2</v>
      </c>
      <c r="H19" s="105">
        <f t="shared" si="5"/>
        <v>919990.71988844348</v>
      </c>
      <c r="I19" s="108">
        <f t="shared" si="3"/>
        <v>39390.057521352624</v>
      </c>
      <c r="J19" s="113">
        <f t="shared" si="4"/>
        <v>880600.66236709082</v>
      </c>
      <c r="K19" s="119">
        <f t="shared" si="6"/>
        <v>-38332.946662018476</v>
      </c>
      <c r="L19" s="123">
        <f t="shared" si="7"/>
        <v>77723.0041833711</v>
      </c>
      <c r="M19" s="129">
        <f t="shared" si="8"/>
        <v>842267.71570507239</v>
      </c>
      <c r="N19" s="94">
        <f t="shared" si="9"/>
        <v>1916647.3331009238</v>
      </c>
      <c r="O19" s="144">
        <f t="shared" si="10"/>
        <v>5.1999999999999998E-2</v>
      </c>
      <c r="P19" s="144">
        <v>0.05</v>
      </c>
      <c r="Q19" s="43"/>
      <c r="R19" s="143"/>
      <c r="S19" s="43"/>
      <c r="T19" s="42"/>
      <c r="U19" s="43"/>
      <c r="V19" s="42"/>
      <c r="W19" s="43"/>
      <c r="X19" s="42"/>
      <c r="Y19" s="40"/>
      <c r="Z19" s="40"/>
    </row>
    <row r="20" spans="1:26" x14ac:dyDescent="0.25">
      <c r="A20" s="63" t="s">
        <v>7</v>
      </c>
      <c r="B20" s="135">
        <v>1992</v>
      </c>
      <c r="C20" s="136">
        <v>0.03</v>
      </c>
      <c r="D20" s="135">
        <v>50</v>
      </c>
      <c r="E20" s="206">
        <f t="shared" si="0"/>
        <v>24</v>
      </c>
      <c r="F20" s="200">
        <f t="shared" si="1"/>
        <v>1.7777777777777779E-3</v>
      </c>
      <c r="G20" s="138">
        <f t="shared" si="2"/>
        <v>1.2550113299633956E-2</v>
      </c>
      <c r="H20" s="105">
        <f t="shared" si="5"/>
        <v>551994.43193306611</v>
      </c>
      <c r="I20" s="108">
        <f t="shared" si="3"/>
        <v>23634.034512811577</v>
      </c>
      <c r="J20" s="113">
        <f t="shared" si="4"/>
        <v>528360.39742025454</v>
      </c>
      <c r="K20" s="119">
        <f t="shared" si="6"/>
        <v>-22999.767997211089</v>
      </c>
      <c r="L20" s="123">
        <f t="shared" si="7"/>
        <v>46633.802510022666</v>
      </c>
      <c r="M20" s="129">
        <f t="shared" si="8"/>
        <v>505360.62942304346</v>
      </c>
      <c r="N20" s="94">
        <f>K20*D20*-1</f>
        <v>1149988.3998605544</v>
      </c>
      <c r="O20" s="144">
        <f t="shared" si="10"/>
        <v>3.1E-2</v>
      </c>
      <c r="P20" s="144">
        <v>0.03</v>
      </c>
      <c r="Q20" s="43"/>
      <c r="R20" s="143"/>
      <c r="S20" s="43"/>
      <c r="T20" s="42"/>
      <c r="U20" s="43"/>
      <c r="V20" s="42"/>
      <c r="W20" s="43"/>
      <c r="X20" s="42"/>
      <c r="Y20" s="40"/>
      <c r="Z20" s="40"/>
    </row>
    <row r="21" spans="1:26" x14ac:dyDescent="0.25">
      <c r="A21" s="63" t="s">
        <v>8</v>
      </c>
      <c r="B21" s="135">
        <v>1992</v>
      </c>
      <c r="C21" s="136">
        <v>0.03</v>
      </c>
      <c r="D21" s="135">
        <v>30</v>
      </c>
      <c r="E21" s="206">
        <f t="shared" si="0"/>
        <v>4</v>
      </c>
      <c r="F21" s="200">
        <f t="shared" si="1"/>
        <v>2.9629629629629629E-4</v>
      </c>
      <c r="G21" s="138">
        <f t="shared" si="2"/>
        <v>2.0916855499389926E-3</v>
      </c>
      <c r="H21" s="105">
        <f t="shared" si="5"/>
        <v>91999.071988844342</v>
      </c>
      <c r="I21" s="108">
        <f t="shared" si="3"/>
        <v>3939.0057521352624</v>
      </c>
      <c r="J21" s="113">
        <f t="shared" si="4"/>
        <v>88060.066236709084</v>
      </c>
      <c r="K21" s="119">
        <f t="shared" si="6"/>
        <v>-22999.767997211085</v>
      </c>
      <c r="L21" s="123">
        <f t="shared" si="7"/>
        <v>26938.773749346346</v>
      </c>
      <c r="M21" s="129">
        <f t="shared" si="8"/>
        <v>65060.298239497999</v>
      </c>
      <c r="N21" s="94">
        <f t="shared" si="9"/>
        <v>689993.03991633258</v>
      </c>
      <c r="O21" s="144">
        <f t="shared" si="10"/>
        <v>3.1E-2</v>
      </c>
      <c r="P21" s="144">
        <v>0.03</v>
      </c>
      <c r="Q21" s="43"/>
      <c r="R21" s="143"/>
      <c r="S21" s="43"/>
      <c r="T21" s="42"/>
      <c r="U21" s="43"/>
      <c r="V21" s="42"/>
      <c r="W21" s="43"/>
      <c r="X21" s="42"/>
      <c r="Y21" s="40"/>
      <c r="Z21" s="40"/>
    </row>
    <row r="22" spans="1:26" s="14" customFormat="1" x14ac:dyDescent="0.25">
      <c r="A22" s="63" t="s">
        <v>9</v>
      </c>
      <c r="B22" s="135">
        <v>2005</v>
      </c>
      <c r="C22" s="136">
        <v>0.02</v>
      </c>
      <c r="D22" s="135">
        <v>40</v>
      </c>
      <c r="E22" s="206">
        <f t="shared" si="0"/>
        <v>27</v>
      </c>
      <c r="F22" s="200">
        <f t="shared" si="1"/>
        <v>1.3333333333333333E-3</v>
      </c>
      <c r="G22" s="138">
        <f t="shared" si="2"/>
        <v>9.4125849747254669E-3</v>
      </c>
      <c r="H22" s="105">
        <f t="shared" si="5"/>
        <v>413995.82394979958</v>
      </c>
      <c r="I22" s="108">
        <f t="shared" si="3"/>
        <v>17725.52588460868</v>
      </c>
      <c r="J22" s="113">
        <f t="shared" si="4"/>
        <v>396270.2980651909</v>
      </c>
      <c r="K22" s="119">
        <f t="shared" si="6"/>
        <v>-15333.178664807392</v>
      </c>
      <c r="L22" s="123">
        <f t="shared" si="7"/>
        <v>33058.70454941607</v>
      </c>
      <c r="M22" s="129">
        <f t="shared" si="8"/>
        <v>380937.1194003835</v>
      </c>
      <c r="N22" s="94">
        <f t="shared" si="9"/>
        <v>613327.14659229573</v>
      </c>
      <c r="O22" s="144">
        <f t="shared" si="10"/>
        <v>2.1000000000000001E-2</v>
      </c>
      <c r="P22" s="144">
        <v>0.02</v>
      </c>
      <c r="Q22" s="43"/>
      <c r="R22" s="143"/>
      <c r="S22" s="43"/>
      <c r="T22" s="42"/>
      <c r="U22" s="43"/>
      <c r="V22" s="42"/>
      <c r="W22" s="43"/>
      <c r="X22" s="42"/>
      <c r="Y22" s="40"/>
      <c r="Z22" s="40"/>
    </row>
    <row r="23" spans="1:26" x14ac:dyDescent="0.25">
      <c r="A23" s="66" t="s">
        <v>10</v>
      </c>
      <c r="B23" s="135">
        <v>1992</v>
      </c>
      <c r="C23" s="192">
        <v>5.0000000000000001E-3</v>
      </c>
      <c r="D23" s="194">
        <v>50</v>
      </c>
      <c r="E23" s="206">
        <f t="shared" si="0"/>
        <v>24</v>
      </c>
      <c r="F23" s="200">
        <f t="shared" si="1"/>
        <v>2.9629629629629629E-4</v>
      </c>
      <c r="G23" s="138">
        <f t="shared" si="2"/>
        <v>2.0916855499389926E-3</v>
      </c>
      <c r="H23" s="105">
        <f t="shared" si="5"/>
        <v>91999.071988844342</v>
      </c>
      <c r="I23" s="108">
        <f t="shared" si="3"/>
        <v>3939.0057521352624</v>
      </c>
      <c r="J23" s="113">
        <f t="shared" si="4"/>
        <v>88060.066236709084</v>
      </c>
      <c r="K23" s="119">
        <f t="shared" si="6"/>
        <v>-3833.2946662018476</v>
      </c>
      <c r="L23" s="123">
        <f t="shared" si="7"/>
        <v>7772.3004183371104</v>
      </c>
      <c r="M23" s="129">
        <f t="shared" si="8"/>
        <v>84226.771570507233</v>
      </c>
      <c r="N23" s="94">
        <f t="shared" si="9"/>
        <v>191664.73331009239</v>
      </c>
      <c r="O23" s="144">
        <f t="shared" si="10"/>
        <v>5.0000000000000001E-3</v>
      </c>
      <c r="P23" s="144">
        <v>0.02</v>
      </c>
      <c r="Q23" s="43"/>
      <c r="R23" s="143"/>
      <c r="S23" s="43"/>
      <c r="T23" s="42"/>
      <c r="U23" s="43"/>
      <c r="V23" s="42"/>
      <c r="W23" s="43"/>
      <c r="X23" s="42"/>
      <c r="Y23" s="40"/>
      <c r="Z23" s="40"/>
    </row>
    <row r="24" spans="1:26" x14ac:dyDescent="0.25">
      <c r="A24" s="63" t="s">
        <v>11</v>
      </c>
      <c r="B24" s="135">
        <v>1992</v>
      </c>
      <c r="C24" s="136">
        <v>0.02</v>
      </c>
      <c r="D24" s="194">
        <v>40</v>
      </c>
      <c r="E24" s="206">
        <f t="shared" si="0"/>
        <v>14</v>
      </c>
      <c r="F24" s="200">
        <f t="shared" si="1"/>
        <v>6.91358024691358E-4</v>
      </c>
      <c r="G24" s="138">
        <f t="shared" si="2"/>
        <v>4.8805996165243153E-3</v>
      </c>
      <c r="H24" s="105">
        <f t="shared" si="5"/>
        <v>214664.50130730344</v>
      </c>
      <c r="I24" s="108">
        <f t="shared" si="3"/>
        <v>9191.0134216489441</v>
      </c>
      <c r="J24" s="113">
        <f t="shared" si="4"/>
        <v>205473.4878856545</v>
      </c>
      <c r="K24" s="119">
        <f t="shared" si="6"/>
        <v>-15333.178664807388</v>
      </c>
      <c r="L24" s="123">
        <f t="shared" si="7"/>
        <v>24524.192086456333</v>
      </c>
      <c r="M24" s="129">
        <f t="shared" si="8"/>
        <v>190140.30922084712</v>
      </c>
      <c r="N24" s="94">
        <f>K24*D24*-1</f>
        <v>613327.1465922955</v>
      </c>
      <c r="O24" s="144">
        <f t="shared" si="10"/>
        <v>2.1000000000000001E-2</v>
      </c>
      <c r="P24" s="144">
        <v>0.02</v>
      </c>
      <c r="Q24" s="43"/>
      <c r="R24" s="143"/>
      <c r="S24" s="43"/>
      <c r="T24" s="42"/>
      <c r="U24" s="43"/>
      <c r="V24" s="42"/>
      <c r="W24" s="43"/>
      <c r="X24" s="42"/>
      <c r="Y24" s="40"/>
      <c r="Z24" s="40"/>
    </row>
    <row r="25" spans="1:26" x14ac:dyDescent="0.25">
      <c r="A25" s="63" t="s">
        <v>12</v>
      </c>
      <c r="B25" s="135">
        <v>1992</v>
      </c>
      <c r="C25" s="136">
        <v>0.01</v>
      </c>
      <c r="D25" s="135">
        <v>20</v>
      </c>
      <c r="E25" s="206">
        <f t="shared" si="0"/>
        <v>0</v>
      </c>
      <c r="F25" s="200">
        <f t="shared" si="1"/>
        <v>0</v>
      </c>
      <c r="G25" s="138">
        <f t="shared" si="2"/>
        <v>0</v>
      </c>
      <c r="H25" s="105">
        <f t="shared" si="5"/>
        <v>0</v>
      </c>
      <c r="I25" s="108">
        <f t="shared" si="3"/>
        <v>0</v>
      </c>
      <c r="J25" s="113">
        <f t="shared" si="4"/>
        <v>0</v>
      </c>
      <c r="K25" s="119">
        <f t="shared" si="6"/>
        <v>0</v>
      </c>
      <c r="L25" s="123">
        <f t="shared" si="7"/>
        <v>0</v>
      </c>
      <c r="M25" s="129">
        <f t="shared" si="8"/>
        <v>0</v>
      </c>
      <c r="N25" s="94">
        <f t="shared" si="9"/>
        <v>0</v>
      </c>
      <c r="O25" s="144">
        <f t="shared" si="10"/>
        <v>0.01</v>
      </c>
      <c r="P25" s="144">
        <v>0.01</v>
      </c>
      <c r="Q25" s="43"/>
      <c r="R25" s="143"/>
      <c r="S25" s="43"/>
      <c r="T25" s="42"/>
      <c r="U25" s="43"/>
      <c r="V25" s="42"/>
      <c r="W25" s="43"/>
      <c r="X25" s="42"/>
      <c r="Y25" s="40"/>
      <c r="Z25" s="40"/>
    </row>
    <row r="26" spans="1:26" x14ac:dyDescent="0.25">
      <c r="A26" s="67" t="s">
        <v>13</v>
      </c>
      <c r="B26" s="139">
        <v>1992</v>
      </c>
      <c r="C26" s="140">
        <v>0.13</v>
      </c>
      <c r="D26" s="139">
        <v>50</v>
      </c>
      <c r="E26" s="207">
        <f t="shared" si="0"/>
        <v>24</v>
      </c>
      <c r="F26" s="201">
        <f t="shared" si="1"/>
        <v>7.7037037037037039E-3</v>
      </c>
      <c r="G26" s="142">
        <f t="shared" si="2"/>
        <v>5.4383824298413805E-2</v>
      </c>
      <c r="H26" s="106">
        <f t="shared" si="5"/>
        <v>2391975.8717099531</v>
      </c>
      <c r="I26" s="109">
        <f t="shared" si="3"/>
        <v>102414.14955551682</v>
      </c>
      <c r="J26" s="114">
        <f t="shared" si="4"/>
        <v>2289561.7221544362</v>
      </c>
      <c r="K26" s="119">
        <f t="shared" si="6"/>
        <v>-99665.661321248044</v>
      </c>
      <c r="L26" s="124">
        <f t="shared" si="7"/>
        <v>202079.81087676488</v>
      </c>
      <c r="M26" s="129">
        <f t="shared" si="8"/>
        <v>2189896.0608331882</v>
      </c>
      <c r="N26" s="94">
        <f t="shared" si="9"/>
        <v>4983283.066062402</v>
      </c>
      <c r="O26" s="144">
        <f>1-SUM(O11:O25)</f>
        <v>0.13899999999999968</v>
      </c>
      <c r="P26" s="144">
        <v>0.13</v>
      </c>
      <c r="Q26" s="43"/>
      <c r="R26" s="143"/>
      <c r="S26" s="43"/>
      <c r="T26" s="42"/>
      <c r="U26" s="43"/>
      <c r="V26" s="42"/>
      <c r="W26" s="43"/>
      <c r="X26" s="42"/>
      <c r="Y26" s="40"/>
      <c r="Z26" s="40"/>
    </row>
    <row r="27" spans="1:26" x14ac:dyDescent="0.25">
      <c r="A27" s="80" t="s">
        <v>83</v>
      </c>
      <c r="B27" s="179" t="s">
        <v>72</v>
      </c>
      <c r="C27" s="180">
        <f>SUM(C11:C26)</f>
        <v>0.95500000000000029</v>
      </c>
      <c r="D27" s="181" t="s">
        <v>72</v>
      </c>
      <c r="E27" s="182">
        <f t="shared" ref="E27:P27" si="11">SUM(E11:E26)</f>
        <v>405</v>
      </c>
      <c r="F27" s="202">
        <f t="shared" si="11"/>
        <v>0.14165432098765432</v>
      </c>
      <c r="G27" s="180">
        <f t="shared" si="11"/>
        <v>1</v>
      </c>
      <c r="H27" s="105">
        <f t="shared" si="11"/>
        <v>43983223</v>
      </c>
      <c r="I27" s="108">
        <f t="shared" si="11"/>
        <v>1883173.0000000002</v>
      </c>
      <c r="J27" s="115">
        <f t="shared" si="11"/>
        <v>42100050.000000015</v>
      </c>
      <c r="K27" s="120">
        <f t="shared" si="11"/>
        <v>-701492.923914938</v>
      </c>
      <c r="L27" s="125">
        <f t="shared" si="11"/>
        <v>2584665.9239149387</v>
      </c>
      <c r="M27" s="131">
        <f t="shared" si="11"/>
        <v>41398557.076085068</v>
      </c>
      <c r="N27" s="97">
        <f t="shared" si="11"/>
        <v>82684165.949973866</v>
      </c>
      <c r="O27" s="145">
        <f t="shared" si="11"/>
        <v>1</v>
      </c>
      <c r="P27" s="145">
        <f t="shared" si="11"/>
        <v>1</v>
      </c>
      <c r="Q27" s="42"/>
      <c r="R27" s="43"/>
      <c r="S27" s="42"/>
      <c r="T27" s="43"/>
      <c r="U27" s="42"/>
      <c r="V27" s="43"/>
      <c r="W27" s="42"/>
      <c r="X27" s="43"/>
      <c r="Y27" s="40"/>
      <c r="Z27" s="40"/>
    </row>
    <row r="28" spans="1:26" x14ac:dyDescent="0.25">
      <c r="A28" s="80" t="s">
        <v>84</v>
      </c>
      <c r="B28" s="186">
        <f t="shared" ref="B28:G28" si="12">AVERAGE(B11:B26)</f>
        <v>1982.5</v>
      </c>
      <c r="C28" s="185">
        <f t="shared" si="12"/>
        <v>5.9687500000000018E-2</v>
      </c>
      <c r="D28" s="186">
        <f t="shared" si="12"/>
        <v>59.0625</v>
      </c>
      <c r="E28" s="186">
        <f t="shared" si="12"/>
        <v>25.3125</v>
      </c>
      <c r="F28" s="203">
        <f t="shared" si="12"/>
        <v>8.853395061728395E-3</v>
      </c>
      <c r="G28" s="185">
        <f t="shared" si="12"/>
        <v>6.25E-2</v>
      </c>
      <c r="H28" s="16"/>
      <c r="I28" s="16"/>
      <c r="J28" s="16"/>
      <c r="K28" s="11"/>
      <c r="L28" s="43"/>
      <c r="M28" s="42"/>
      <c r="N28" s="93"/>
      <c r="O28" s="143"/>
      <c r="P28" s="43"/>
      <c r="Q28" s="42"/>
      <c r="R28" s="43"/>
      <c r="S28" s="42"/>
      <c r="T28" s="43"/>
      <c r="U28" s="42"/>
      <c r="V28" s="43"/>
      <c r="W28" s="42"/>
      <c r="X28" s="43"/>
      <c r="Y28" s="40"/>
      <c r="Z28" s="40"/>
    </row>
    <row r="29" spans="1:26" x14ac:dyDescent="0.25">
      <c r="A29" s="80" t="s">
        <v>85</v>
      </c>
      <c r="B29" s="188">
        <f>SUMPRODUCT(B11:B26,C11:C26)/SUM(C11:C26)</f>
        <v>1962.3246073298424</v>
      </c>
      <c r="C29" s="204">
        <f>SUMPRODUCT(C11:C26,D11:D26)/SUM(D11:D26)</f>
        <v>0.11624338624338625</v>
      </c>
      <c r="D29" s="188">
        <f>SUMPRODUCT(D11:D26,C11:C26)/SUM(C11:C26)</f>
        <v>115.02617801047118</v>
      </c>
      <c r="E29" s="188">
        <f>SUMPRODUCT(E11:E26,C11:C26)/SUM(C11:C26)</f>
        <v>60.073298429319344</v>
      </c>
      <c r="F29" s="189"/>
      <c r="G29" s="189"/>
      <c r="H29" s="90"/>
      <c r="I29" s="16"/>
      <c r="J29" s="16"/>
      <c r="K29" s="11"/>
      <c r="L29" s="43"/>
      <c r="M29" s="42"/>
      <c r="N29" s="93"/>
      <c r="O29" s="42"/>
      <c r="P29" s="43"/>
      <c r="Q29" s="42"/>
      <c r="R29" s="43"/>
      <c r="S29" s="42"/>
      <c r="T29" s="43"/>
      <c r="U29" s="42"/>
      <c r="V29" s="43"/>
      <c r="W29" s="42"/>
      <c r="X29" s="43"/>
      <c r="Y29" s="40"/>
      <c r="Z29" s="40"/>
    </row>
    <row r="30" spans="1:26" x14ac:dyDescent="0.25">
      <c r="D30" s="16"/>
      <c r="E30" s="16"/>
      <c r="F30" s="14"/>
      <c r="G30" s="14"/>
      <c r="H30" s="14"/>
      <c r="I30" s="14"/>
    </row>
    <row r="31" spans="1:26" ht="30" x14ac:dyDescent="0.25">
      <c r="A31" s="132" t="s">
        <v>76</v>
      </c>
      <c r="B31" s="91" t="s">
        <v>71</v>
      </c>
      <c r="C31" s="91" t="s">
        <v>77</v>
      </c>
      <c r="D31" s="91" t="s">
        <v>78</v>
      </c>
      <c r="E31" s="104" t="s">
        <v>26</v>
      </c>
      <c r="F31" s="107" t="s">
        <v>27</v>
      </c>
      <c r="G31" s="133" t="s">
        <v>43</v>
      </c>
      <c r="H31" s="118" t="s">
        <v>86</v>
      </c>
      <c r="I31" s="122" t="s">
        <v>46</v>
      </c>
      <c r="J31" s="128" t="s">
        <v>47</v>
      </c>
      <c r="X31"/>
    </row>
    <row r="32" spans="1:26" x14ac:dyDescent="0.25">
      <c r="A32" s="64" t="s">
        <v>48</v>
      </c>
      <c r="B32" s="45">
        <v>42005</v>
      </c>
      <c r="C32" s="44">
        <v>15</v>
      </c>
      <c r="D32" s="46">
        <f t="shared" ref="D32:D38" si="13">IF(C32-ROUND(($B$8-B32)/365,2)&lt;0,0,C32-ROUND(($B$8-B32)/365,2))</f>
        <v>11</v>
      </c>
      <c r="E32" s="102">
        <v>611537</v>
      </c>
      <c r="F32" s="110">
        <v>46877</v>
      </c>
      <c r="G32" s="116">
        <v>554861</v>
      </c>
      <c r="H32" s="121">
        <f t="shared" ref="H32:H38" si="14">E32/C32*-1</f>
        <v>-40769.133333333331</v>
      </c>
      <c r="I32" s="126">
        <f t="shared" ref="I32:I38" si="15">F32-H32</f>
        <v>87646.133333333331</v>
      </c>
      <c r="J32" s="130">
        <f t="shared" ref="J32:J38" si="16">E32-I32</f>
        <v>523890.8666666667</v>
      </c>
      <c r="K32" s="42"/>
      <c r="L32" s="39"/>
      <c r="M32" s="42"/>
      <c r="N32" s="92"/>
      <c r="O32" s="42"/>
      <c r="P32" s="39"/>
      <c r="Q32" s="42"/>
      <c r="R32" s="39"/>
      <c r="S32" s="42"/>
      <c r="T32" s="39"/>
      <c r="U32" s="42"/>
      <c r="X32"/>
    </row>
    <row r="33" spans="1:24" x14ac:dyDescent="0.25">
      <c r="A33" s="64" t="s">
        <v>49</v>
      </c>
      <c r="B33" s="45">
        <v>42005</v>
      </c>
      <c r="C33" s="44">
        <v>10</v>
      </c>
      <c r="D33" s="46">
        <f t="shared" si="13"/>
        <v>6</v>
      </c>
      <c r="E33" s="102">
        <v>504258</v>
      </c>
      <c r="F33" s="110">
        <v>55474</v>
      </c>
      <c r="G33" s="116">
        <v>458583</v>
      </c>
      <c r="H33" s="121">
        <f t="shared" si="14"/>
        <v>-50425.8</v>
      </c>
      <c r="I33" s="126">
        <f t="shared" si="15"/>
        <v>105899.8</v>
      </c>
      <c r="J33" s="130">
        <f t="shared" si="16"/>
        <v>398358.2</v>
      </c>
      <c r="K33" s="42"/>
      <c r="L33" s="39"/>
      <c r="M33" s="42"/>
      <c r="N33" s="92"/>
      <c r="O33" s="42"/>
      <c r="P33" s="39"/>
      <c r="Q33" s="42"/>
      <c r="R33" s="39"/>
      <c r="S33" s="42"/>
      <c r="T33" s="39"/>
      <c r="U33" s="42"/>
      <c r="X33"/>
    </row>
    <row r="34" spans="1:24" x14ac:dyDescent="0.25">
      <c r="A34" s="64" t="s">
        <v>50</v>
      </c>
      <c r="B34" s="45">
        <v>42278</v>
      </c>
      <c r="C34" s="44">
        <v>10</v>
      </c>
      <c r="D34" s="46">
        <f t="shared" si="13"/>
        <v>6.75</v>
      </c>
      <c r="E34" s="102">
        <v>648475</v>
      </c>
      <c r="F34" s="110">
        <v>81192</v>
      </c>
      <c r="G34" s="116">
        <v>502436</v>
      </c>
      <c r="H34" s="121">
        <f t="shared" si="14"/>
        <v>-64847.5</v>
      </c>
      <c r="I34" s="126">
        <f t="shared" si="15"/>
        <v>146039.5</v>
      </c>
      <c r="J34" s="130">
        <f t="shared" si="16"/>
        <v>502435.5</v>
      </c>
      <c r="K34" s="42"/>
      <c r="L34" s="39"/>
      <c r="M34" s="42"/>
      <c r="N34" s="92"/>
      <c r="O34" s="42"/>
      <c r="P34" s="39"/>
      <c r="Q34" s="42"/>
      <c r="R34" s="39"/>
      <c r="S34" s="42"/>
      <c r="T34" s="39"/>
      <c r="U34" s="42"/>
      <c r="X34"/>
    </row>
    <row r="35" spans="1:24" s="14" customFormat="1" x14ac:dyDescent="0.25">
      <c r="A35" s="65" t="s">
        <v>51</v>
      </c>
      <c r="B35" s="60">
        <v>38353</v>
      </c>
      <c r="C35" s="59">
        <v>25</v>
      </c>
      <c r="D35" s="61">
        <f t="shared" si="13"/>
        <v>10.99</v>
      </c>
      <c r="E35" s="102">
        <v>1245359</v>
      </c>
      <c r="F35" s="110">
        <v>398512</v>
      </c>
      <c r="G35" s="116">
        <v>846847</v>
      </c>
      <c r="H35" s="121">
        <f t="shared" si="14"/>
        <v>-49814.36</v>
      </c>
      <c r="I35" s="126">
        <f t="shared" si="15"/>
        <v>448326.36</v>
      </c>
      <c r="J35" s="130">
        <f t="shared" si="16"/>
        <v>797032.64</v>
      </c>
      <c r="K35" s="42"/>
      <c r="L35" s="39"/>
      <c r="M35" s="42"/>
      <c r="N35" s="92"/>
      <c r="O35" s="42"/>
      <c r="P35" s="39"/>
      <c r="Q35" s="42"/>
      <c r="R35" s="39"/>
      <c r="S35" s="42"/>
      <c r="T35" s="39"/>
      <c r="U35" s="42"/>
      <c r="V35" s="40"/>
      <c r="W35" s="40"/>
    </row>
    <row r="36" spans="1:24" x14ac:dyDescent="0.25">
      <c r="A36" s="64" t="s">
        <v>52</v>
      </c>
      <c r="B36" s="45">
        <v>43100</v>
      </c>
      <c r="C36" s="44">
        <v>10</v>
      </c>
      <c r="D36" s="46">
        <f t="shared" si="13"/>
        <v>9</v>
      </c>
      <c r="E36" s="102">
        <v>94708</v>
      </c>
      <c r="F36" s="110">
        <v>17479</v>
      </c>
      <c r="G36" s="116">
        <f>E36+H36*(C36-D36)</f>
        <v>85237.2</v>
      </c>
      <c r="H36" s="121">
        <f t="shared" si="14"/>
        <v>-9470.7999999999993</v>
      </c>
      <c r="I36" s="126">
        <f t="shared" si="15"/>
        <v>26949.8</v>
      </c>
      <c r="J36" s="130">
        <f t="shared" si="16"/>
        <v>67758.2</v>
      </c>
      <c r="K36" s="42"/>
      <c r="L36" s="39"/>
      <c r="M36" s="42"/>
      <c r="N36" s="92"/>
      <c r="O36" s="42"/>
      <c r="P36" s="39"/>
      <c r="Q36" s="42"/>
      <c r="R36" s="39"/>
      <c r="S36" s="42"/>
      <c r="T36" s="39"/>
      <c r="U36" s="42"/>
      <c r="X36"/>
    </row>
    <row r="37" spans="1:24" x14ac:dyDescent="0.25">
      <c r="A37" s="64" t="s">
        <v>73</v>
      </c>
      <c r="B37" s="45">
        <v>43009</v>
      </c>
      <c r="C37" s="44">
        <v>50</v>
      </c>
      <c r="D37" s="46">
        <f t="shared" si="13"/>
        <v>48.75</v>
      </c>
      <c r="E37" s="102">
        <v>2621293</v>
      </c>
      <c r="F37" s="110">
        <v>17475</v>
      </c>
      <c r="G37" s="116">
        <f>E37+H37*(C37-D37)</f>
        <v>2555760.6749999998</v>
      </c>
      <c r="H37" s="121">
        <f t="shared" si="14"/>
        <v>-52425.86</v>
      </c>
      <c r="I37" s="126">
        <f t="shared" si="15"/>
        <v>69900.86</v>
      </c>
      <c r="J37" s="130">
        <f t="shared" si="16"/>
        <v>2551392.14</v>
      </c>
      <c r="K37" s="42"/>
      <c r="L37" s="39"/>
      <c r="M37" s="42"/>
      <c r="N37" s="92"/>
      <c r="O37" s="42"/>
      <c r="P37" s="39"/>
      <c r="Q37" s="42"/>
      <c r="R37" s="39"/>
      <c r="S37" s="42"/>
      <c r="T37" s="39"/>
      <c r="U37" s="42"/>
      <c r="X37"/>
    </row>
    <row r="38" spans="1:24" x14ac:dyDescent="0.25">
      <c r="A38" s="64" t="s">
        <v>54</v>
      </c>
      <c r="B38" s="45">
        <v>43281</v>
      </c>
      <c r="C38" s="44">
        <v>10</v>
      </c>
      <c r="D38" s="46">
        <f t="shared" si="13"/>
        <v>9.5</v>
      </c>
      <c r="E38" s="102">
        <v>154282</v>
      </c>
      <c r="F38" s="110">
        <v>5143</v>
      </c>
      <c r="G38" s="116">
        <f>E38+H38*(C38-D38)</f>
        <v>146567.9</v>
      </c>
      <c r="H38" s="121">
        <f t="shared" si="14"/>
        <v>-15428.2</v>
      </c>
      <c r="I38" s="126">
        <f t="shared" si="15"/>
        <v>20571.2</v>
      </c>
      <c r="J38" s="130">
        <f t="shared" si="16"/>
        <v>133710.79999999999</v>
      </c>
      <c r="K38" s="42"/>
      <c r="L38" s="39"/>
      <c r="M38" s="42"/>
      <c r="N38" s="92"/>
      <c r="O38" s="42"/>
      <c r="P38" s="39"/>
      <c r="Q38" s="42"/>
      <c r="R38" s="39"/>
      <c r="S38" s="42"/>
      <c r="T38" s="39"/>
      <c r="U38" s="42"/>
      <c r="X38"/>
    </row>
    <row r="39" spans="1:24" x14ac:dyDescent="0.25">
      <c r="A39" s="51"/>
      <c r="B39" s="52"/>
      <c r="C39" s="52"/>
      <c r="D39" s="32"/>
      <c r="E39" s="103">
        <f t="shared" ref="E39:J39" si="17">SUM(E32:E38)</f>
        <v>5879912</v>
      </c>
      <c r="F39" s="111">
        <f t="shared" si="17"/>
        <v>622152</v>
      </c>
      <c r="G39" s="117">
        <f t="shared" si="17"/>
        <v>5150292.7750000004</v>
      </c>
      <c r="H39" s="120">
        <f t="shared" si="17"/>
        <v>-283181.65333333332</v>
      </c>
      <c r="I39" s="127">
        <f t="shared" si="17"/>
        <v>905333.65333333332</v>
      </c>
      <c r="J39" s="131">
        <f t="shared" si="17"/>
        <v>4974578.3466666667</v>
      </c>
      <c r="X39"/>
    </row>
    <row r="40" spans="1:24" x14ac:dyDescent="0.25">
      <c r="A40" s="37"/>
      <c r="B40" s="38"/>
      <c r="C40" s="38"/>
      <c r="I40" s="40"/>
      <c r="X40"/>
    </row>
    <row r="41" spans="1:24" x14ac:dyDescent="0.25">
      <c r="A41" s="12"/>
      <c r="B41" s="11"/>
      <c r="C41" s="11"/>
      <c r="I41" s="40"/>
      <c r="X41"/>
    </row>
    <row r="42" spans="1:24" x14ac:dyDescent="0.25">
      <c r="A42" s="54" t="s">
        <v>55</v>
      </c>
      <c r="B42" s="55"/>
      <c r="C42" s="55"/>
      <c r="D42" s="56"/>
      <c r="E42" s="56">
        <f t="shared" ref="E42:J42" si="18">H27+E39</f>
        <v>49863135</v>
      </c>
      <c r="F42" s="57">
        <f t="shared" si="18"/>
        <v>2505325</v>
      </c>
      <c r="G42" s="57">
        <f t="shared" si="18"/>
        <v>47250342.775000013</v>
      </c>
      <c r="H42" s="57">
        <f t="shared" si="18"/>
        <v>-984674.57724827132</v>
      </c>
      <c r="I42" s="58">
        <f t="shared" si="18"/>
        <v>3489999.577248272</v>
      </c>
      <c r="J42" s="58">
        <f t="shared" si="18"/>
        <v>46373135.422751732</v>
      </c>
      <c r="X42"/>
    </row>
    <row r="46" spans="1:24" x14ac:dyDescent="0.25">
      <c r="H46" s="40"/>
      <c r="I46" s="40"/>
      <c r="V46"/>
      <c r="W46"/>
      <c r="X46"/>
    </row>
    <row r="47" spans="1:24" x14ac:dyDescent="0.25">
      <c r="A47" t="s">
        <v>57</v>
      </c>
      <c r="H47" s="40"/>
      <c r="I47" s="40"/>
      <c r="V47"/>
      <c r="W47"/>
      <c r="X47"/>
    </row>
    <row r="48" spans="1:24" x14ac:dyDescent="0.25">
      <c r="B48" t="s">
        <v>59</v>
      </c>
      <c r="H48" s="40"/>
      <c r="I48" s="40"/>
      <c r="V48"/>
      <c r="W48"/>
      <c r="X48"/>
    </row>
    <row r="49" spans="2:24" x14ac:dyDescent="0.25">
      <c r="B49" t="s">
        <v>56</v>
      </c>
      <c r="H49" s="40"/>
      <c r="I49" s="40"/>
      <c r="V49"/>
      <c r="W49"/>
      <c r="X49"/>
    </row>
    <row r="50" spans="2:24" x14ac:dyDescent="0.25">
      <c r="H50" s="40"/>
      <c r="I50" s="40"/>
      <c r="V50"/>
      <c r="W50"/>
      <c r="X50"/>
    </row>
    <row r="51" spans="2:24" x14ac:dyDescent="0.25">
      <c r="B51" t="s">
        <v>58</v>
      </c>
      <c r="H51" s="40"/>
      <c r="I51" s="40"/>
      <c r="V51"/>
      <c r="W51"/>
      <c r="X51"/>
    </row>
    <row r="52" spans="2:24" x14ac:dyDescent="0.25">
      <c r="H52" s="40"/>
      <c r="I52" s="40"/>
      <c r="V52"/>
      <c r="W52"/>
      <c r="X52"/>
    </row>
    <row r="53" spans="2:24" x14ac:dyDescent="0.25">
      <c r="H53" s="40"/>
      <c r="I53" s="40"/>
      <c r="V53"/>
      <c r="W53"/>
      <c r="X53"/>
    </row>
    <row r="54" spans="2:24" x14ac:dyDescent="0.25">
      <c r="H54" s="40"/>
      <c r="I54" s="40"/>
      <c r="V54"/>
      <c r="W54"/>
      <c r="X54"/>
    </row>
    <row r="55" spans="2:24" x14ac:dyDescent="0.25">
      <c r="H55" s="40"/>
      <c r="I55" s="40"/>
      <c r="V55"/>
      <c r="W55"/>
      <c r="X55"/>
    </row>
    <row r="56" spans="2:24" x14ac:dyDescent="0.25">
      <c r="H56" s="40"/>
      <c r="I56" s="40"/>
      <c r="V56"/>
      <c r="W56"/>
      <c r="X56"/>
    </row>
    <row r="57" spans="2:24" x14ac:dyDescent="0.25">
      <c r="H57" s="40"/>
      <c r="I57" s="40"/>
      <c r="V57"/>
      <c r="W57"/>
      <c r="X57"/>
    </row>
    <row r="58" spans="2:24" x14ac:dyDescent="0.25">
      <c r="H58" s="40"/>
      <c r="I58" s="40"/>
      <c r="V58"/>
      <c r="W58"/>
      <c r="X58"/>
    </row>
    <row r="59" spans="2:24" x14ac:dyDescent="0.25">
      <c r="H59" s="40"/>
      <c r="I59" s="40"/>
      <c r="V59"/>
      <c r="W59"/>
      <c r="X59"/>
    </row>
    <row r="60" spans="2:24" x14ac:dyDescent="0.25">
      <c r="H60" s="40"/>
      <c r="I60" s="40"/>
      <c r="V60"/>
      <c r="W60"/>
      <c r="X60"/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3"/>
  <sheetViews>
    <sheetView showGridLines="0" topLeftCell="A4" zoomScale="90" zoomScaleNormal="90" workbookViewId="0">
      <selection activeCell="D33" sqref="D33"/>
    </sheetView>
  </sheetViews>
  <sheetFormatPr defaultRowHeight="15" x14ac:dyDescent="0.25"/>
  <cols>
    <col min="1" max="1" width="9.140625" style="69"/>
    <col min="2" max="2" width="36.28515625" customWidth="1"/>
    <col min="3" max="3" width="12.28515625" customWidth="1"/>
    <col min="4" max="4" width="14.5703125" customWidth="1"/>
    <col min="5" max="5" width="11.28515625" style="3" customWidth="1"/>
    <col min="6" max="6" width="14.140625" style="3" customWidth="1"/>
    <col min="7" max="8" width="13.5703125" customWidth="1"/>
    <col min="9" max="9" width="13.5703125" bestFit="1" customWidth="1"/>
    <col min="10" max="10" width="16.140625" customWidth="1"/>
    <col min="11" max="11" width="15.85546875" style="40" customWidth="1"/>
    <col min="12" max="12" width="15" style="40" customWidth="1"/>
    <col min="13" max="13" width="15.140625" style="40" customWidth="1"/>
    <col min="14" max="14" width="15.42578125" style="40" customWidth="1"/>
    <col min="15" max="15" width="14.85546875" style="95" customWidth="1"/>
    <col min="16" max="16" width="15.28515625" style="40" customWidth="1"/>
    <col min="17" max="17" width="17.42578125" style="40" customWidth="1"/>
    <col min="18" max="18" width="12.42578125" style="40" customWidth="1"/>
    <col min="19" max="19" width="13.28515625" style="40" bestFit="1" customWidth="1"/>
    <col min="20" max="20" width="12.42578125" style="40" customWidth="1"/>
    <col min="21" max="21" width="15.5703125" style="40" customWidth="1"/>
    <col min="22" max="22" width="12.140625" style="40" customWidth="1"/>
    <col min="23" max="23" width="14.28515625" style="40" customWidth="1"/>
    <col min="24" max="25" width="9.140625" style="40"/>
  </cols>
  <sheetData>
    <row r="1" spans="1:27" x14ac:dyDescent="0.25">
      <c r="B1" s="1" t="s">
        <v>44</v>
      </c>
    </row>
    <row r="2" spans="1:27" x14ac:dyDescent="0.25">
      <c r="B2" s="40" t="s">
        <v>103</v>
      </c>
      <c r="F2"/>
      <c r="G2" s="40"/>
      <c r="H2" s="40"/>
      <c r="I2" s="40"/>
      <c r="J2" s="40"/>
      <c r="V2"/>
      <c r="W2"/>
      <c r="X2"/>
      <c r="Y2"/>
    </row>
    <row r="3" spans="1:27" x14ac:dyDescent="0.25">
      <c r="B3" s="40" t="s">
        <v>104</v>
      </c>
      <c r="C3" s="14"/>
      <c r="D3" s="14"/>
      <c r="F3"/>
      <c r="G3" s="40"/>
      <c r="H3" s="40"/>
      <c r="I3" s="40"/>
      <c r="J3" s="40"/>
      <c r="V3"/>
      <c r="W3"/>
      <c r="X3"/>
      <c r="Y3"/>
    </row>
    <row r="4" spans="1:27" x14ac:dyDescent="0.25">
      <c r="C4" s="14"/>
      <c r="D4" s="14"/>
      <c r="E4" s="16"/>
      <c r="F4" s="1" t="s">
        <v>44</v>
      </c>
      <c r="G4" s="40"/>
      <c r="H4" s="40"/>
      <c r="I4" s="40"/>
      <c r="J4" s="40"/>
      <c r="V4"/>
      <c r="W4"/>
      <c r="X4"/>
      <c r="Y4"/>
    </row>
    <row r="5" spans="1:27" x14ac:dyDescent="0.25">
      <c r="B5" s="99" t="s">
        <v>20</v>
      </c>
      <c r="C5" s="254">
        <v>43983223</v>
      </c>
      <c r="D5" s="255"/>
      <c r="E5" s="16"/>
      <c r="F5" s="40" t="s">
        <v>103</v>
      </c>
      <c r="H5" s="40"/>
      <c r="I5" s="40"/>
      <c r="J5" s="40"/>
      <c r="W5"/>
      <c r="X5"/>
      <c r="Y5"/>
    </row>
    <row r="6" spans="1:27" x14ac:dyDescent="0.25">
      <c r="B6" s="99" t="s">
        <v>21</v>
      </c>
      <c r="C6" s="254">
        <v>1883173</v>
      </c>
      <c r="D6" s="255"/>
      <c r="E6" s="16"/>
      <c r="F6" s="40" t="s">
        <v>102</v>
      </c>
      <c r="G6" s="8"/>
      <c r="H6" s="8"/>
    </row>
    <row r="7" spans="1:27" x14ac:dyDescent="0.25">
      <c r="B7" s="100" t="s">
        <v>75</v>
      </c>
      <c r="C7" s="256">
        <v>2018</v>
      </c>
      <c r="D7" s="257"/>
    </row>
    <row r="8" spans="1:27" x14ac:dyDescent="0.25">
      <c r="B8" s="101" t="s">
        <v>37</v>
      </c>
      <c r="C8" s="258">
        <v>43465</v>
      </c>
      <c r="D8" s="259"/>
    </row>
    <row r="10" spans="1:27" ht="30" x14ac:dyDescent="0.25">
      <c r="B10" s="89" t="s">
        <v>76</v>
      </c>
      <c r="C10" s="134" t="s">
        <v>71</v>
      </c>
      <c r="D10" s="134" t="s">
        <v>133</v>
      </c>
      <c r="E10" s="134" t="s">
        <v>89</v>
      </c>
      <c r="F10" s="134" t="s">
        <v>78</v>
      </c>
      <c r="G10" s="134" t="s">
        <v>79</v>
      </c>
      <c r="H10" s="134" t="s">
        <v>80</v>
      </c>
      <c r="I10" s="104" t="s">
        <v>26</v>
      </c>
      <c r="J10" s="107" t="s">
        <v>27</v>
      </c>
      <c r="K10" s="112" t="s">
        <v>43</v>
      </c>
      <c r="L10" s="118" t="s">
        <v>45</v>
      </c>
      <c r="M10" s="122" t="s">
        <v>46</v>
      </c>
      <c r="N10" s="128" t="s">
        <v>47</v>
      </c>
      <c r="O10" s="96" t="s">
        <v>87</v>
      </c>
      <c r="P10" s="96" t="s">
        <v>92</v>
      </c>
      <c r="Q10" s="96" t="s">
        <v>94</v>
      </c>
      <c r="R10" s="39"/>
      <c r="S10" s="41"/>
      <c r="T10" s="39"/>
      <c r="U10" s="41"/>
      <c r="V10" s="39"/>
      <c r="W10" s="41"/>
      <c r="X10" s="39"/>
      <c r="Y10" s="41"/>
      <c r="Z10" s="40"/>
      <c r="AA10" s="40"/>
    </row>
    <row r="11" spans="1:27" x14ac:dyDescent="0.25">
      <c r="A11" s="69" t="s">
        <v>113</v>
      </c>
      <c r="B11" s="63" t="s">
        <v>1</v>
      </c>
      <c r="C11" s="135">
        <v>1937</v>
      </c>
      <c r="D11" s="136">
        <v>0.3</v>
      </c>
      <c r="E11" s="194">
        <v>200</v>
      </c>
      <c r="F11" s="206">
        <f t="shared" ref="F11:F29" si="0">IF(E11-($C$7-C11)&gt;0,E11-($C$7-C11),0)</f>
        <v>119</v>
      </c>
      <c r="G11" s="200">
        <f t="shared" ref="G11:G29" si="1">F11/SUM($F$11:$F$29)*D11</f>
        <v>8.8148148148148156E-2</v>
      </c>
      <c r="H11" s="138">
        <f>G11/$G$30</f>
        <v>0.62620592878442383</v>
      </c>
      <c r="I11" s="208">
        <f>$C$5*H11</f>
        <v>27542555.009647433</v>
      </c>
      <c r="J11" s="209">
        <f t="shared" ref="J11:J29" si="2">H11*$C$6</f>
        <v>1179254.0975267498</v>
      </c>
      <c r="K11" s="210">
        <f t="shared" ref="K11:K29" si="3">I11-J11</f>
        <v>26363300.912120681</v>
      </c>
      <c r="L11" s="211">
        <f>IFERROR(I11/F11*-1,0)</f>
        <v>-231450.04209787759</v>
      </c>
      <c r="M11" s="212">
        <f>J11-L11</f>
        <v>1410704.1396246273</v>
      </c>
      <c r="N11" s="213">
        <f>K11+L11</f>
        <v>26131850.870022804</v>
      </c>
      <c r="O11" s="240">
        <f>L11*E11*-1</f>
        <v>46290008.41957552</v>
      </c>
      <c r="P11" s="144">
        <f t="shared" ref="P11:P28" si="4">ROUND(D11/$D$30,3)</f>
        <v>0.314</v>
      </c>
      <c r="Q11" s="144">
        <v>0.3</v>
      </c>
      <c r="R11" s="43"/>
      <c r="S11" s="143"/>
      <c r="T11" s="43"/>
      <c r="U11" s="42"/>
      <c r="V11" s="43"/>
      <c r="W11" s="42"/>
      <c r="X11" s="43"/>
      <c r="Y11" s="42"/>
      <c r="Z11" s="40"/>
      <c r="AA11" s="40"/>
    </row>
    <row r="12" spans="1:27" x14ac:dyDescent="0.25">
      <c r="A12" s="69" t="s">
        <v>114</v>
      </c>
      <c r="B12" s="63" t="s">
        <v>2</v>
      </c>
      <c r="C12" s="135">
        <v>1937</v>
      </c>
      <c r="D12" s="136">
        <v>0.19</v>
      </c>
      <c r="E12" s="194">
        <v>150</v>
      </c>
      <c r="F12" s="206">
        <f t="shared" si="0"/>
        <v>69</v>
      </c>
      <c r="G12" s="200">
        <f t="shared" si="1"/>
        <v>3.2370370370370369E-2</v>
      </c>
      <c r="H12" s="138">
        <f>G12/$G$30</f>
        <v>0.22995965620066652</v>
      </c>
      <c r="I12" s="208">
        <f t="shared" ref="I12:I29" si="5">$C$5*H12</f>
        <v>10114366.839677248</v>
      </c>
      <c r="J12" s="209">
        <f t="shared" si="2"/>
        <v>433053.8156463778</v>
      </c>
      <c r="K12" s="210">
        <f t="shared" si="3"/>
        <v>9681313.0240308698</v>
      </c>
      <c r="L12" s="211">
        <f t="shared" ref="L12:L29" si="6">IFERROR(I12/F12*-1,0)</f>
        <v>-146585.0266619891</v>
      </c>
      <c r="M12" s="212">
        <f t="shared" ref="M12:M29" si="7">J12-L12</f>
        <v>579638.8423083669</v>
      </c>
      <c r="N12" s="213">
        <f t="shared" ref="N12:N29" si="8">K12+L12</f>
        <v>9534727.9973688815</v>
      </c>
      <c r="O12" s="240">
        <f t="shared" ref="O12:O29" si="9">L12*E12*-1</f>
        <v>21987753.999298364</v>
      </c>
      <c r="P12" s="144">
        <f t="shared" si="4"/>
        <v>0.19900000000000001</v>
      </c>
      <c r="Q12" s="144">
        <v>0.19</v>
      </c>
      <c r="R12" s="43"/>
      <c r="S12" s="143"/>
      <c r="T12" s="43"/>
      <c r="U12" s="42"/>
      <c r="V12" s="43"/>
      <c r="W12" s="42"/>
      <c r="X12" s="43"/>
      <c r="Y12" s="42"/>
      <c r="Z12" s="40"/>
      <c r="AA12" s="40"/>
    </row>
    <row r="13" spans="1:27" x14ac:dyDescent="0.25">
      <c r="A13" s="69" t="s">
        <v>115</v>
      </c>
      <c r="B13" s="63" t="s">
        <v>110</v>
      </c>
      <c r="C13" s="135">
        <v>1992</v>
      </c>
      <c r="D13" s="136">
        <v>5.0000000000000001E-3</v>
      </c>
      <c r="E13" s="194">
        <v>25</v>
      </c>
      <c r="F13" s="206">
        <f t="shared" si="0"/>
        <v>0</v>
      </c>
      <c r="G13" s="200">
        <f t="shared" si="1"/>
        <v>0</v>
      </c>
      <c r="H13" s="138">
        <f t="shared" ref="H13:H29" si="10">G13/$G$30</f>
        <v>0</v>
      </c>
      <c r="I13" s="208">
        <f t="shared" si="5"/>
        <v>0</v>
      </c>
      <c r="J13" s="209">
        <f t="shared" si="2"/>
        <v>0</v>
      </c>
      <c r="K13" s="210">
        <f t="shared" si="3"/>
        <v>0</v>
      </c>
      <c r="L13" s="211">
        <f t="shared" si="6"/>
        <v>0</v>
      </c>
      <c r="M13" s="212">
        <f t="shared" si="7"/>
        <v>0</v>
      </c>
      <c r="N13" s="213">
        <f t="shared" si="8"/>
        <v>0</v>
      </c>
      <c r="O13" s="240">
        <f t="shared" si="9"/>
        <v>0</v>
      </c>
      <c r="P13" s="144">
        <f t="shared" si="4"/>
        <v>5.0000000000000001E-3</v>
      </c>
      <c r="Q13" s="144">
        <v>0.03</v>
      </c>
      <c r="R13" s="43"/>
      <c r="S13" s="143"/>
      <c r="T13" s="43"/>
      <c r="U13" s="42"/>
      <c r="V13" s="43"/>
      <c r="W13" s="42"/>
      <c r="X13" s="43"/>
      <c r="Y13" s="42"/>
      <c r="Z13" s="40"/>
      <c r="AA13" s="40"/>
    </row>
    <row r="14" spans="1:27" x14ac:dyDescent="0.25">
      <c r="A14" s="69" t="s">
        <v>116</v>
      </c>
      <c r="B14" s="63" t="s">
        <v>109</v>
      </c>
      <c r="C14" s="135">
        <f>(1937+1992)/2</f>
        <v>1964.5</v>
      </c>
      <c r="D14" s="136">
        <v>5.0000000000000001E-3</v>
      </c>
      <c r="E14" s="194">
        <v>50</v>
      </c>
      <c r="F14" s="206">
        <f t="shared" si="0"/>
        <v>0</v>
      </c>
      <c r="G14" s="200">
        <f t="shared" si="1"/>
        <v>0</v>
      </c>
      <c r="H14" s="138">
        <f t="shared" si="10"/>
        <v>0</v>
      </c>
      <c r="I14" s="208">
        <f t="shared" si="5"/>
        <v>0</v>
      </c>
      <c r="J14" s="209">
        <f t="shared" si="2"/>
        <v>0</v>
      </c>
      <c r="K14" s="210">
        <f t="shared" si="3"/>
        <v>0</v>
      </c>
      <c r="L14" s="211">
        <f t="shared" si="6"/>
        <v>0</v>
      </c>
      <c r="M14" s="212">
        <f t="shared" si="7"/>
        <v>0</v>
      </c>
      <c r="N14" s="213">
        <f t="shared" si="8"/>
        <v>0</v>
      </c>
      <c r="O14" s="240">
        <f t="shared" si="9"/>
        <v>0</v>
      </c>
      <c r="P14" s="144">
        <f t="shared" si="4"/>
        <v>5.0000000000000001E-3</v>
      </c>
      <c r="Q14" s="144">
        <v>0.03</v>
      </c>
      <c r="R14" s="43"/>
      <c r="S14" s="143"/>
      <c r="T14" s="43"/>
      <c r="U14" s="42"/>
      <c r="V14" s="43"/>
      <c r="W14" s="42"/>
      <c r="X14" s="43"/>
      <c r="Y14" s="42"/>
      <c r="Z14" s="40"/>
      <c r="AA14" s="40"/>
    </row>
    <row r="15" spans="1:27" x14ac:dyDescent="0.25">
      <c r="A15" s="69" t="s">
        <v>117</v>
      </c>
      <c r="B15" s="63" t="s">
        <v>111</v>
      </c>
      <c r="C15" s="135">
        <v>1992</v>
      </c>
      <c r="D15" s="136">
        <v>5.0000000000000001E-3</v>
      </c>
      <c r="E15" s="194">
        <v>25</v>
      </c>
      <c r="F15" s="206">
        <f t="shared" si="0"/>
        <v>0</v>
      </c>
      <c r="G15" s="200">
        <f t="shared" si="1"/>
        <v>0</v>
      </c>
      <c r="H15" s="138">
        <f t="shared" si="10"/>
        <v>0</v>
      </c>
      <c r="I15" s="208">
        <f t="shared" si="5"/>
        <v>0</v>
      </c>
      <c r="J15" s="209">
        <f t="shared" si="2"/>
        <v>0</v>
      </c>
      <c r="K15" s="210">
        <f t="shared" si="3"/>
        <v>0</v>
      </c>
      <c r="L15" s="211">
        <f t="shared" si="6"/>
        <v>0</v>
      </c>
      <c r="M15" s="212">
        <f t="shared" si="7"/>
        <v>0</v>
      </c>
      <c r="N15" s="213">
        <f t="shared" si="8"/>
        <v>0</v>
      </c>
      <c r="O15" s="240">
        <f t="shared" si="9"/>
        <v>0</v>
      </c>
      <c r="P15" s="144">
        <f t="shared" si="4"/>
        <v>5.0000000000000001E-3</v>
      </c>
      <c r="Q15" s="144">
        <v>0.03</v>
      </c>
      <c r="R15" s="43"/>
      <c r="S15" s="143"/>
      <c r="T15" s="43"/>
      <c r="U15" s="42"/>
      <c r="V15" s="43"/>
      <c r="W15" s="42"/>
      <c r="X15" s="43"/>
      <c r="Y15" s="42"/>
      <c r="Z15" s="40"/>
      <c r="AA15" s="40"/>
    </row>
    <row r="16" spans="1:27" x14ac:dyDescent="0.25">
      <c r="A16" s="69" t="s">
        <v>118</v>
      </c>
      <c r="B16" s="63" t="s">
        <v>112</v>
      </c>
      <c r="C16" s="135">
        <v>1992</v>
      </c>
      <c r="D16" s="136">
        <v>5.0000000000000001E-3</v>
      </c>
      <c r="E16" s="194">
        <v>50</v>
      </c>
      <c r="F16" s="206">
        <f t="shared" si="0"/>
        <v>24</v>
      </c>
      <c r="G16" s="200">
        <f t="shared" si="1"/>
        <v>2.9629629629629629E-4</v>
      </c>
      <c r="H16" s="138">
        <f t="shared" si="10"/>
        <v>2.1048938782669705E-3</v>
      </c>
      <c r="I16" s="208">
        <f t="shared" si="5"/>
        <v>92580.016839151009</v>
      </c>
      <c r="J16" s="209">
        <f t="shared" si="2"/>
        <v>3963.8793194176455</v>
      </c>
      <c r="K16" s="210">
        <f t="shared" si="3"/>
        <v>88616.137519733369</v>
      </c>
      <c r="L16" s="211">
        <f t="shared" si="6"/>
        <v>-3857.500701631292</v>
      </c>
      <c r="M16" s="212">
        <f t="shared" si="7"/>
        <v>7821.3800210489371</v>
      </c>
      <c r="N16" s="213">
        <f t="shared" si="8"/>
        <v>84758.636818102081</v>
      </c>
      <c r="O16" s="240">
        <f t="shared" si="9"/>
        <v>192875.03508156459</v>
      </c>
      <c r="P16" s="144">
        <f t="shared" si="4"/>
        <v>5.0000000000000001E-3</v>
      </c>
      <c r="Q16" s="144">
        <v>0.03</v>
      </c>
      <c r="R16" s="43"/>
      <c r="S16" s="143"/>
      <c r="T16" s="43"/>
      <c r="U16" s="42"/>
      <c r="V16" s="43"/>
      <c r="W16" s="42"/>
      <c r="X16" s="43"/>
      <c r="Y16" s="42"/>
      <c r="Z16" s="40"/>
      <c r="AA16" s="40"/>
    </row>
    <row r="17" spans="1:27" x14ac:dyDescent="0.25">
      <c r="A17" s="69" t="s">
        <v>119</v>
      </c>
      <c r="B17" s="64" t="s">
        <v>73</v>
      </c>
      <c r="C17" s="135">
        <v>1937</v>
      </c>
      <c r="D17" s="136">
        <v>0.03</v>
      </c>
      <c r="E17" s="135">
        <v>60</v>
      </c>
      <c r="F17" s="206">
        <f t="shared" si="0"/>
        <v>0</v>
      </c>
      <c r="G17" s="200">
        <f t="shared" si="1"/>
        <v>0</v>
      </c>
      <c r="H17" s="138">
        <f t="shared" si="10"/>
        <v>0</v>
      </c>
      <c r="I17" s="208">
        <f t="shared" si="5"/>
        <v>0</v>
      </c>
      <c r="J17" s="209">
        <f t="shared" si="2"/>
        <v>0</v>
      </c>
      <c r="K17" s="210">
        <f t="shared" si="3"/>
        <v>0</v>
      </c>
      <c r="L17" s="211">
        <f t="shared" si="6"/>
        <v>0</v>
      </c>
      <c r="M17" s="212">
        <f t="shared" si="7"/>
        <v>0</v>
      </c>
      <c r="N17" s="213">
        <f t="shared" si="8"/>
        <v>0</v>
      </c>
      <c r="O17" s="240">
        <f t="shared" si="9"/>
        <v>0</v>
      </c>
      <c r="P17" s="144">
        <f t="shared" si="4"/>
        <v>3.1E-2</v>
      </c>
      <c r="Q17" s="144"/>
      <c r="R17" s="43"/>
      <c r="S17" s="143"/>
      <c r="T17" s="43"/>
      <c r="U17" s="42"/>
      <c r="V17" s="43"/>
      <c r="W17" s="42"/>
      <c r="X17" s="43"/>
      <c r="Y17" s="42"/>
      <c r="Z17" s="40"/>
      <c r="AA17" s="40"/>
    </row>
    <row r="18" spans="1:27" x14ac:dyDescent="0.25">
      <c r="A18" s="69" t="s">
        <v>120</v>
      </c>
      <c r="B18" s="64" t="s">
        <v>74</v>
      </c>
      <c r="C18" s="135">
        <v>1992</v>
      </c>
      <c r="D18" s="136">
        <v>0.03</v>
      </c>
      <c r="E18" s="135">
        <v>50</v>
      </c>
      <c r="F18" s="206">
        <f t="shared" si="0"/>
        <v>24</v>
      </c>
      <c r="G18" s="200">
        <f t="shared" si="1"/>
        <v>1.7777777777777779E-3</v>
      </c>
      <c r="H18" s="138">
        <f t="shared" si="10"/>
        <v>1.2629363269601825E-2</v>
      </c>
      <c r="I18" s="208">
        <f t="shared" si="5"/>
        <v>555480.10103490623</v>
      </c>
      <c r="J18" s="209">
        <f t="shared" si="2"/>
        <v>23783.275916505878</v>
      </c>
      <c r="K18" s="210">
        <f t="shared" si="3"/>
        <v>531696.82511840039</v>
      </c>
      <c r="L18" s="211">
        <f t="shared" si="6"/>
        <v>-23145.004209787759</v>
      </c>
      <c r="M18" s="212">
        <f t="shared" si="7"/>
        <v>46928.280126293641</v>
      </c>
      <c r="N18" s="213">
        <f t="shared" si="8"/>
        <v>508551.82090861263</v>
      </c>
      <c r="O18" s="240">
        <f t="shared" si="9"/>
        <v>1157250.2104893881</v>
      </c>
      <c r="P18" s="144">
        <f t="shared" si="4"/>
        <v>3.1E-2</v>
      </c>
      <c r="Q18" s="144"/>
      <c r="R18" s="43"/>
      <c r="S18" s="143"/>
      <c r="T18" s="43"/>
      <c r="U18" s="42"/>
      <c r="V18" s="43"/>
      <c r="W18" s="42"/>
      <c r="X18" s="43"/>
      <c r="Y18" s="42"/>
      <c r="Z18" s="40"/>
      <c r="AA18" s="40"/>
    </row>
    <row r="19" spans="1:27" x14ac:dyDescent="0.25">
      <c r="A19" s="69" t="s">
        <v>121</v>
      </c>
      <c r="B19" s="64" t="s">
        <v>82</v>
      </c>
      <c r="C19" s="135">
        <v>1992</v>
      </c>
      <c r="D19" s="136">
        <v>0.03</v>
      </c>
      <c r="E19" s="135">
        <v>40</v>
      </c>
      <c r="F19" s="206">
        <f t="shared" si="0"/>
        <v>14</v>
      </c>
      <c r="G19" s="200">
        <f t="shared" si="1"/>
        <v>1.0370370370370368E-3</v>
      </c>
      <c r="H19" s="138">
        <f t="shared" si="10"/>
        <v>7.3671285739343962E-3</v>
      </c>
      <c r="I19" s="208">
        <f t="shared" si="5"/>
        <v>324030.05893702852</v>
      </c>
      <c r="J19" s="209">
        <f t="shared" si="2"/>
        <v>13873.577617961759</v>
      </c>
      <c r="K19" s="210">
        <f t="shared" si="3"/>
        <v>310156.48131906678</v>
      </c>
      <c r="L19" s="211">
        <f t="shared" si="6"/>
        <v>-23145.004209787752</v>
      </c>
      <c r="M19" s="212">
        <f t="shared" si="7"/>
        <v>37018.581827749513</v>
      </c>
      <c r="N19" s="213">
        <f t="shared" si="8"/>
        <v>287011.47710927902</v>
      </c>
      <c r="O19" s="240">
        <f t="shared" si="9"/>
        <v>925800.16839151015</v>
      </c>
      <c r="P19" s="144">
        <f t="shared" si="4"/>
        <v>3.1E-2</v>
      </c>
      <c r="Q19" s="144"/>
      <c r="R19" s="43"/>
      <c r="S19" s="143"/>
      <c r="T19" s="43"/>
      <c r="U19" s="42"/>
      <c r="V19" s="43"/>
      <c r="W19" s="42"/>
      <c r="X19" s="43"/>
      <c r="Y19" s="42"/>
      <c r="Z19" s="40"/>
      <c r="AA19" s="40"/>
    </row>
    <row r="20" spans="1:27" x14ac:dyDescent="0.25">
      <c r="A20" s="69" t="s">
        <v>122</v>
      </c>
      <c r="B20" s="63" t="s">
        <v>4</v>
      </c>
      <c r="C20" s="135">
        <v>1992</v>
      </c>
      <c r="D20" s="192">
        <v>0.06</v>
      </c>
      <c r="E20" s="135">
        <v>40</v>
      </c>
      <c r="F20" s="206">
        <f t="shared" si="0"/>
        <v>14</v>
      </c>
      <c r="G20" s="200">
        <f t="shared" si="1"/>
        <v>2.0740740740740737E-3</v>
      </c>
      <c r="H20" s="138">
        <f t="shared" si="10"/>
        <v>1.4734257147868792E-2</v>
      </c>
      <c r="I20" s="208">
        <f t="shared" si="5"/>
        <v>648060.11787405703</v>
      </c>
      <c r="J20" s="209">
        <f t="shared" si="2"/>
        <v>27747.155235923517</v>
      </c>
      <c r="K20" s="210">
        <f t="shared" si="3"/>
        <v>620312.96263813355</v>
      </c>
      <c r="L20" s="211">
        <f t="shared" si="6"/>
        <v>-46290.008419575504</v>
      </c>
      <c r="M20" s="212">
        <f t="shared" si="7"/>
        <v>74037.163655499025</v>
      </c>
      <c r="N20" s="213">
        <f t="shared" si="8"/>
        <v>574022.95421855804</v>
      </c>
      <c r="O20" s="240">
        <f t="shared" si="9"/>
        <v>1851600.3367830203</v>
      </c>
      <c r="P20" s="144">
        <f t="shared" si="4"/>
        <v>6.3E-2</v>
      </c>
      <c r="Q20" s="144">
        <v>0.08</v>
      </c>
      <c r="R20" s="43"/>
      <c r="S20" s="143"/>
      <c r="T20" s="43"/>
      <c r="U20" s="42"/>
      <c r="V20" s="43"/>
      <c r="W20" s="42"/>
      <c r="X20" s="43"/>
      <c r="Y20" s="42"/>
      <c r="Z20" s="40"/>
      <c r="AA20" s="40"/>
    </row>
    <row r="21" spans="1:27" x14ac:dyDescent="0.25">
      <c r="A21" s="69" t="s">
        <v>123</v>
      </c>
      <c r="B21" s="63" t="s">
        <v>5</v>
      </c>
      <c r="C21" s="135">
        <v>1992</v>
      </c>
      <c r="D21" s="136">
        <v>0</v>
      </c>
      <c r="E21" s="194">
        <v>25</v>
      </c>
      <c r="F21" s="206">
        <f t="shared" si="0"/>
        <v>0</v>
      </c>
      <c r="G21" s="200">
        <f t="shared" si="1"/>
        <v>0</v>
      </c>
      <c r="H21" s="138">
        <f t="shared" si="10"/>
        <v>0</v>
      </c>
      <c r="I21" s="208">
        <f t="shared" si="5"/>
        <v>0</v>
      </c>
      <c r="J21" s="209">
        <f t="shared" si="2"/>
        <v>0</v>
      </c>
      <c r="K21" s="210">
        <f t="shared" si="3"/>
        <v>0</v>
      </c>
      <c r="L21" s="211">
        <f t="shared" si="6"/>
        <v>0</v>
      </c>
      <c r="M21" s="212">
        <f t="shared" si="7"/>
        <v>0</v>
      </c>
      <c r="N21" s="213">
        <f t="shared" si="8"/>
        <v>0</v>
      </c>
      <c r="O21" s="240">
        <f t="shared" si="9"/>
        <v>0</v>
      </c>
      <c r="P21" s="144">
        <f t="shared" si="4"/>
        <v>0</v>
      </c>
      <c r="Q21" s="144">
        <v>0</v>
      </c>
      <c r="R21" s="43"/>
      <c r="S21" s="143"/>
      <c r="T21" s="43"/>
      <c r="U21" s="42"/>
      <c r="V21" s="43"/>
      <c r="W21" s="42"/>
      <c r="X21" s="43"/>
      <c r="Y21" s="42"/>
      <c r="Z21" s="40"/>
      <c r="AA21" s="40"/>
    </row>
    <row r="22" spans="1:27" x14ac:dyDescent="0.25">
      <c r="A22" s="69" t="s">
        <v>124</v>
      </c>
      <c r="B22" s="63" t="s">
        <v>6</v>
      </c>
      <c r="C22" s="135">
        <v>1992</v>
      </c>
      <c r="D22" s="136">
        <v>0.05</v>
      </c>
      <c r="E22" s="135">
        <v>50</v>
      </c>
      <c r="F22" s="206">
        <f t="shared" si="0"/>
        <v>24</v>
      </c>
      <c r="G22" s="200">
        <f t="shared" si="1"/>
        <v>2.9629629629629632E-3</v>
      </c>
      <c r="H22" s="138">
        <f t="shared" si="10"/>
        <v>2.104893878266971E-2</v>
      </c>
      <c r="I22" s="208">
        <f t="shared" si="5"/>
        <v>925800.16839151038</v>
      </c>
      <c r="J22" s="209">
        <f t="shared" si="2"/>
        <v>39638.793194176469</v>
      </c>
      <c r="K22" s="210">
        <f t="shared" si="3"/>
        <v>886161.37519733387</v>
      </c>
      <c r="L22" s="211">
        <f t="shared" si="6"/>
        <v>-38575.007016312935</v>
      </c>
      <c r="M22" s="212">
        <f t="shared" si="7"/>
        <v>78213.800210489397</v>
      </c>
      <c r="N22" s="213">
        <f t="shared" si="8"/>
        <v>847586.36818102095</v>
      </c>
      <c r="O22" s="240">
        <f t="shared" si="9"/>
        <v>1928750.3508156468</v>
      </c>
      <c r="P22" s="144">
        <f t="shared" si="4"/>
        <v>5.1999999999999998E-2</v>
      </c>
      <c r="Q22" s="144">
        <v>0.05</v>
      </c>
      <c r="R22" s="43"/>
      <c r="S22" s="143"/>
      <c r="T22" s="43"/>
      <c r="U22" s="42"/>
      <c r="V22" s="43"/>
      <c r="W22" s="42"/>
      <c r="X22" s="43"/>
      <c r="Y22" s="42"/>
      <c r="Z22" s="40"/>
      <c r="AA22" s="40"/>
    </row>
    <row r="23" spans="1:27" x14ac:dyDescent="0.25">
      <c r="A23" s="69" t="s">
        <v>125</v>
      </c>
      <c r="B23" s="63" t="s">
        <v>7</v>
      </c>
      <c r="C23" s="135">
        <v>1992</v>
      </c>
      <c r="D23" s="136">
        <v>0.03</v>
      </c>
      <c r="E23" s="135">
        <v>50</v>
      </c>
      <c r="F23" s="206">
        <f t="shared" si="0"/>
        <v>24</v>
      </c>
      <c r="G23" s="200">
        <f t="shared" si="1"/>
        <v>1.7777777777777779E-3</v>
      </c>
      <c r="H23" s="138">
        <f t="shared" si="10"/>
        <v>1.2629363269601825E-2</v>
      </c>
      <c r="I23" s="208">
        <f t="shared" si="5"/>
        <v>555480.10103490623</v>
      </c>
      <c r="J23" s="209">
        <f t="shared" si="2"/>
        <v>23783.275916505878</v>
      </c>
      <c r="K23" s="210">
        <f t="shared" si="3"/>
        <v>531696.82511840039</v>
      </c>
      <c r="L23" s="211">
        <f t="shared" si="6"/>
        <v>-23145.004209787759</v>
      </c>
      <c r="M23" s="212">
        <f t="shared" si="7"/>
        <v>46928.280126293641</v>
      </c>
      <c r="N23" s="213">
        <f t="shared" si="8"/>
        <v>508551.82090861263</v>
      </c>
      <c r="O23" s="240">
        <f>L23*E23*-1</f>
        <v>1157250.2104893881</v>
      </c>
      <c r="P23" s="144">
        <f t="shared" si="4"/>
        <v>3.1E-2</v>
      </c>
      <c r="Q23" s="144">
        <v>0.03</v>
      </c>
      <c r="R23" s="43"/>
      <c r="S23" s="143"/>
      <c r="T23" s="43"/>
      <c r="U23" s="42"/>
      <c r="V23" s="43"/>
      <c r="W23" s="42"/>
      <c r="X23" s="43"/>
      <c r="Y23" s="42"/>
      <c r="Z23" s="40"/>
      <c r="AA23" s="40"/>
    </row>
    <row r="24" spans="1:27" x14ac:dyDescent="0.25">
      <c r="A24" s="69" t="s">
        <v>126</v>
      </c>
      <c r="B24" s="63" t="s">
        <v>8</v>
      </c>
      <c r="C24" s="135">
        <v>1992</v>
      </c>
      <c r="D24" s="136">
        <v>0.03</v>
      </c>
      <c r="E24" s="135">
        <v>30</v>
      </c>
      <c r="F24" s="206">
        <f t="shared" si="0"/>
        <v>4</v>
      </c>
      <c r="G24" s="200">
        <f t="shared" si="1"/>
        <v>2.9629629629629629E-4</v>
      </c>
      <c r="H24" s="138">
        <f t="shared" si="10"/>
        <v>2.1048938782669705E-3</v>
      </c>
      <c r="I24" s="208">
        <f t="shared" si="5"/>
        <v>92580.016839151009</v>
      </c>
      <c r="J24" s="209">
        <f t="shared" si="2"/>
        <v>3963.8793194176455</v>
      </c>
      <c r="K24" s="210">
        <f t="shared" si="3"/>
        <v>88616.137519733369</v>
      </c>
      <c r="L24" s="211">
        <f t="shared" si="6"/>
        <v>-23145.004209787752</v>
      </c>
      <c r="M24" s="212">
        <f t="shared" si="7"/>
        <v>27108.883529205399</v>
      </c>
      <c r="N24" s="213">
        <f t="shared" si="8"/>
        <v>65471.133309945617</v>
      </c>
      <c r="O24" s="240">
        <f t="shared" si="9"/>
        <v>694350.12629363255</v>
      </c>
      <c r="P24" s="144">
        <f t="shared" si="4"/>
        <v>3.1E-2</v>
      </c>
      <c r="Q24" s="144">
        <v>0.03</v>
      </c>
      <c r="R24" s="43"/>
      <c r="S24" s="143"/>
      <c r="T24" s="43"/>
      <c r="U24" s="42"/>
      <c r="V24" s="43"/>
      <c r="W24" s="42"/>
      <c r="X24" s="43"/>
      <c r="Y24" s="42"/>
      <c r="Z24" s="40"/>
      <c r="AA24" s="40"/>
    </row>
    <row r="25" spans="1:27" s="14" customFormat="1" x14ac:dyDescent="0.25">
      <c r="A25" s="71" t="s">
        <v>127</v>
      </c>
      <c r="B25" s="63" t="s">
        <v>9</v>
      </c>
      <c r="C25" s="135">
        <v>2005</v>
      </c>
      <c r="D25" s="136">
        <v>0.02</v>
      </c>
      <c r="E25" s="135">
        <v>40</v>
      </c>
      <c r="F25" s="206">
        <f t="shared" si="0"/>
        <v>27</v>
      </c>
      <c r="G25" s="200">
        <f t="shared" si="1"/>
        <v>1.3333333333333333E-3</v>
      </c>
      <c r="H25" s="138">
        <f t="shared" si="10"/>
        <v>9.4720224522013684E-3</v>
      </c>
      <c r="I25" s="208">
        <f t="shared" si="5"/>
        <v>416610.07577617961</v>
      </c>
      <c r="J25" s="209">
        <f t="shared" si="2"/>
        <v>17837.456937379407</v>
      </c>
      <c r="K25" s="210">
        <f t="shared" si="3"/>
        <v>398772.61883880023</v>
      </c>
      <c r="L25" s="211">
        <f t="shared" si="6"/>
        <v>-15430.00280652517</v>
      </c>
      <c r="M25" s="212">
        <f t="shared" si="7"/>
        <v>33267.459743904576</v>
      </c>
      <c r="N25" s="213">
        <f t="shared" si="8"/>
        <v>383342.61603227508</v>
      </c>
      <c r="O25" s="240">
        <f t="shared" si="9"/>
        <v>617200.11226100684</v>
      </c>
      <c r="P25" s="144">
        <f t="shared" si="4"/>
        <v>2.1000000000000001E-2</v>
      </c>
      <c r="Q25" s="144">
        <v>0.02</v>
      </c>
      <c r="R25" s="43"/>
      <c r="S25" s="143"/>
      <c r="T25" s="43"/>
      <c r="U25" s="42"/>
      <c r="V25" s="43"/>
      <c r="W25" s="42"/>
      <c r="X25" s="43"/>
      <c r="Y25" s="42"/>
      <c r="Z25" s="40"/>
      <c r="AA25" s="40"/>
    </row>
    <row r="26" spans="1:27" x14ac:dyDescent="0.25">
      <c r="A26" s="71" t="s">
        <v>128</v>
      </c>
      <c r="B26" s="66" t="s">
        <v>10</v>
      </c>
      <c r="C26" s="135">
        <v>1992</v>
      </c>
      <c r="D26" s="192">
        <v>5.0000000000000001E-3</v>
      </c>
      <c r="E26" s="194">
        <v>50</v>
      </c>
      <c r="F26" s="206">
        <f t="shared" si="0"/>
        <v>24</v>
      </c>
      <c r="G26" s="200">
        <f t="shared" si="1"/>
        <v>2.9629629629629629E-4</v>
      </c>
      <c r="H26" s="138">
        <f t="shared" si="10"/>
        <v>2.1048938782669705E-3</v>
      </c>
      <c r="I26" s="208">
        <f t="shared" si="5"/>
        <v>92580.016839151009</v>
      </c>
      <c r="J26" s="209">
        <f t="shared" si="2"/>
        <v>3963.8793194176455</v>
      </c>
      <c r="K26" s="210">
        <f t="shared" si="3"/>
        <v>88616.137519733369</v>
      </c>
      <c r="L26" s="211">
        <f t="shared" si="6"/>
        <v>-3857.500701631292</v>
      </c>
      <c r="M26" s="212">
        <f t="shared" si="7"/>
        <v>7821.3800210489371</v>
      </c>
      <c r="N26" s="213">
        <f t="shared" si="8"/>
        <v>84758.636818102081</v>
      </c>
      <c r="O26" s="240">
        <f t="shared" si="9"/>
        <v>192875.03508156459</v>
      </c>
      <c r="P26" s="144">
        <f t="shared" si="4"/>
        <v>5.0000000000000001E-3</v>
      </c>
      <c r="Q26" s="144">
        <v>0.02</v>
      </c>
      <c r="R26" s="43"/>
      <c r="S26" s="143"/>
      <c r="T26" s="43"/>
      <c r="U26" s="42"/>
      <c r="V26" s="43"/>
      <c r="W26" s="42"/>
      <c r="X26" s="43"/>
      <c r="Y26" s="42"/>
      <c r="Z26" s="40"/>
      <c r="AA26" s="40"/>
    </row>
    <row r="27" spans="1:27" x14ac:dyDescent="0.25">
      <c r="A27" s="71" t="s">
        <v>129</v>
      </c>
      <c r="B27" s="63" t="s">
        <v>130</v>
      </c>
      <c r="C27" s="135">
        <v>1992</v>
      </c>
      <c r="D27" s="136">
        <v>0.02</v>
      </c>
      <c r="E27" s="194">
        <v>40</v>
      </c>
      <c r="F27" s="206">
        <f t="shared" si="0"/>
        <v>14</v>
      </c>
      <c r="G27" s="200">
        <f t="shared" si="1"/>
        <v>6.91358024691358E-4</v>
      </c>
      <c r="H27" s="138">
        <f t="shared" si="10"/>
        <v>4.9114190492895978E-3</v>
      </c>
      <c r="I27" s="208">
        <f t="shared" si="5"/>
        <v>216020.03929135238</v>
      </c>
      <c r="J27" s="209">
        <f t="shared" si="2"/>
        <v>9249.0517453078392</v>
      </c>
      <c r="K27" s="210">
        <f t="shared" si="3"/>
        <v>206770.98754604455</v>
      </c>
      <c r="L27" s="211">
        <f t="shared" si="6"/>
        <v>-15430.00280652517</v>
      </c>
      <c r="M27" s="212">
        <f t="shared" si="7"/>
        <v>24679.054551833011</v>
      </c>
      <c r="N27" s="213">
        <f t="shared" si="8"/>
        <v>191340.98473951936</v>
      </c>
      <c r="O27" s="240">
        <f>L27*E27*-1</f>
        <v>617200.11226100684</v>
      </c>
      <c r="P27" s="144">
        <f t="shared" si="4"/>
        <v>2.1000000000000001E-2</v>
      </c>
      <c r="Q27" s="144">
        <v>0.02</v>
      </c>
      <c r="R27" s="43"/>
      <c r="S27" s="143"/>
      <c r="T27" s="43"/>
      <c r="U27" s="42"/>
      <c r="V27" s="43"/>
      <c r="W27" s="42"/>
      <c r="X27" s="43"/>
      <c r="Y27" s="42"/>
      <c r="Z27" s="40"/>
      <c r="AA27" s="40"/>
    </row>
    <row r="28" spans="1:27" x14ac:dyDescent="0.25">
      <c r="A28" s="71" t="s">
        <v>131</v>
      </c>
      <c r="B28" s="63" t="s">
        <v>12</v>
      </c>
      <c r="C28" s="135">
        <v>1992</v>
      </c>
      <c r="D28" s="136">
        <v>0.01</v>
      </c>
      <c r="E28" s="135">
        <v>20</v>
      </c>
      <c r="F28" s="206">
        <f t="shared" si="0"/>
        <v>0</v>
      </c>
      <c r="G28" s="200">
        <f t="shared" si="1"/>
        <v>0</v>
      </c>
      <c r="H28" s="138">
        <f t="shared" si="10"/>
        <v>0</v>
      </c>
      <c r="I28" s="208">
        <f t="shared" si="5"/>
        <v>0</v>
      </c>
      <c r="J28" s="209">
        <f t="shared" si="2"/>
        <v>0</v>
      </c>
      <c r="K28" s="210">
        <f t="shared" si="3"/>
        <v>0</v>
      </c>
      <c r="L28" s="211">
        <f t="shared" si="6"/>
        <v>0</v>
      </c>
      <c r="M28" s="212">
        <f t="shared" si="7"/>
        <v>0</v>
      </c>
      <c r="N28" s="213">
        <f t="shared" si="8"/>
        <v>0</v>
      </c>
      <c r="O28" s="240">
        <f t="shared" si="9"/>
        <v>0</v>
      </c>
      <c r="P28" s="144">
        <f t="shared" si="4"/>
        <v>0.01</v>
      </c>
      <c r="Q28" s="144">
        <v>0.01</v>
      </c>
      <c r="R28" s="43"/>
      <c r="S28" s="143"/>
      <c r="T28" s="43"/>
      <c r="U28" s="42"/>
      <c r="V28" s="43"/>
      <c r="W28" s="42"/>
      <c r="X28" s="43"/>
      <c r="Y28" s="42"/>
      <c r="Z28" s="40"/>
      <c r="AA28" s="40"/>
    </row>
    <row r="29" spans="1:27" x14ac:dyDescent="0.25">
      <c r="A29" s="71" t="s">
        <v>132</v>
      </c>
      <c r="B29" s="67" t="s">
        <v>13</v>
      </c>
      <c r="C29" s="139">
        <v>1992</v>
      </c>
      <c r="D29" s="140">
        <v>0.13</v>
      </c>
      <c r="E29" s="139">
        <v>50</v>
      </c>
      <c r="F29" s="207">
        <f t="shared" si="0"/>
        <v>24</v>
      </c>
      <c r="G29" s="201">
        <f t="shared" si="1"/>
        <v>7.7037037037037039E-3</v>
      </c>
      <c r="H29" s="142">
        <f t="shared" si="10"/>
        <v>5.4727240834941238E-2</v>
      </c>
      <c r="I29" s="214">
        <f t="shared" si="5"/>
        <v>2407080.4378179265</v>
      </c>
      <c r="J29" s="215">
        <f t="shared" si="2"/>
        <v>103060.86230485879</v>
      </c>
      <c r="K29" s="216">
        <f t="shared" si="3"/>
        <v>2304019.5755130677</v>
      </c>
      <c r="L29" s="211">
        <f t="shared" si="6"/>
        <v>-100295.0182424136</v>
      </c>
      <c r="M29" s="217">
        <f t="shared" si="7"/>
        <v>203355.88054727239</v>
      </c>
      <c r="N29" s="213">
        <f t="shared" si="8"/>
        <v>2203724.557270654</v>
      </c>
      <c r="O29" s="240">
        <f t="shared" si="9"/>
        <v>5014750.9121206803</v>
      </c>
      <c r="P29" s="144">
        <f>1-SUM(P11:P28)</f>
        <v>0.13999999999999979</v>
      </c>
      <c r="Q29" s="144">
        <v>0.13</v>
      </c>
      <c r="R29" s="43"/>
      <c r="S29" s="143"/>
      <c r="T29" s="43"/>
      <c r="U29" s="42"/>
      <c r="V29" s="43"/>
      <c r="W29" s="42"/>
      <c r="X29" s="43"/>
      <c r="Y29" s="42"/>
      <c r="Z29" s="40"/>
      <c r="AA29" s="40"/>
    </row>
    <row r="30" spans="1:27" x14ac:dyDescent="0.25">
      <c r="B30" s="80" t="s">
        <v>83</v>
      </c>
      <c r="C30" s="179" t="s">
        <v>72</v>
      </c>
      <c r="D30" s="180">
        <f>SUM(D11:D29)</f>
        <v>0.95500000000000029</v>
      </c>
      <c r="E30" s="181" t="s">
        <v>72</v>
      </c>
      <c r="F30" s="182">
        <f t="shared" ref="F30:Q30" si="11">SUM(F11:F29)</f>
        <v>405</v>
      </c>
      <c r="G30" s="202">
        <f t="shared" si="11"/>
        <v>0.14076543209876544</v>
      </c>
      <c r="H30" s="180">
        <f t="shared" si="11"/>
        <v>1</v>
      </c>
      <c r="I30" s="208">
        <f t="shared" si="11"/>
        <v>43983223.000000015</v>
      </c>
      <c r="J30" s="209">
        <f t="shared" si="11"/>
        <v>1883173.0000000005</v>
      </c>
      <c r="K30" s="218">
        <f t="shared" si="11"/>
        <v>42100049.999999993</v>
      </c>
      <c r="L30" s="219">
        <f t="shared" si="11"/>
        <v>-694350.12629363278</v>
      </c>
      <c r="M30" s="220">
        <f t="shared" si="11"/>
        <v>2577523.1262936322</v>
      </c>
      <c r="N30" s="221">
        <f t="shared" si="11"/>
        <v>41405699.873706363</v>
      </c>
      <c r="O30" s="241">
        <f t="shared" si="11"/>
        <v>82627665.028942317</v>
      </c>
      <c r="P30" s="145">
        <f t="shared" si="11"/>
        <v>1</v>
      </c>
      <c r="Q30" s="145">
        <f t="shared" si="11"/>
        <v>1.0000000000000002</v>
      </c>
      <c r="R30" s="42"/>
      <c r="S30" s="43"/>
      <c r="T30" s="42"/>
      <c r="U30" s="43"/>
      <c r="V30" s="42"/>
      <c r="W30" s="43"/>
      <c r="X30" s="42"/>
      <c r="Y30" s="43"/>
      <c r="Z30" s="40"/>
      <c r="AA30" s="40"/>
    </row>
    <row r="31" spans="1:27" x14ac:dyDescent="0.25">
      <c r="B31" s="80" t="s">
        <v>84</v>
      </c>
      <c r="C31" s="186">
        <f t="shared" ref="C31:H31" si="12">AVERAGE(C11:C29)</f>
        <v>1982.5526315789473</v>
      </c>
      <c r="D31" s="185">
        <f t="shared" si="12"/>
        <v>5.0263157894736857E-2</v>
      </c>
      <c r="E31" s="186">
        <f t="shared" si="12"/>
        <v>55</v>
      </c>
      <c r="F31" s="186">
        <f t="shared" si="12"/>
        <v>21.315789473684209</v>
      </c>
      <c r="G31" s="203">
        <f t="shared" si="12"/>
        <v>7.4087069525666021E-3</v>
      </c>
      <c r="H31" s="185">
        <f t="shared" si="12"/>
        <v>5.2631578947368418E-2</v>
      </c>
      <c r="I31" s="16"/>
      <c r="J31" s="16"/>
      <c r="K31" s="16"/>
      <c r="L31" s="11"/>
      <c r="M31" s="43"/>
      <c r="N31" s="42"/>
      <c r="O31" s="93"/>
      <c r="P31" s="143"/>
      <c r="Q31" s="43"/>
      <c r="R31" s="42"/>
      <c r="S31" s="43"/>
      <c r="T31" s="42"/>
      <c r="U31" s="43"/>
      <c r="V31" s="42"/>
      <c r="W31" s="43"/>
      <c r="X31" s="42"/>
      <c r="Y31" s="43"/>
      <c r="Z31" s="40"/>
      <c r="AA31" s="40"/>
    </row>
    <row r="32" spans="1:27" x14ac:dyDescent="0.25">
      <c r="B32" s="80" t="s">
        <v>85</v>
      </c>
      <c r="C32" s="188">
        <f>SUMPRODUCT(C11:C29,D11:D29)/SUM(D11:D29)</f>
        <v>1962.1806282722507</v>
      </c>
      <c r="D32" s="204">
        <f>SUMPRODUCT(D11:D29,E11:E29)/SUM(E11:E29)</f>
        <v>0.10488038277511963</v>
      </c>
      <c r="E32" s="188">
        <f>SUMPRODUCT(E11:E29,D11:D29)/SUM(D11:D29)</f>
        <v>114.76439790575914</v>
      </c>
      <c r="F32" s="188">
        <f>SUMPRODUCT(F11:F29,D11:D29)/SUM(D11:D29)</f>
        <v>59.696335078534005</v>
      </c>
      <c r="G32" s="189"/>
      <c r="H32" s="189"/>
      <c r="I32" s="90"/>
      <c r="J32" s="16"/>
      <c r="K32" s="16"/>
      <c r="L32" s="11"/>
      <c r="M32" s="43"/>
      <c r="N32" s="42"/>
      <c r="O32" s="93"/>
      <c r="P32" s="42"/>
      <c r="Q32" s="43"/>
      <c r="R32" s="42"/>
      <c r="S32" s="43"/>
      <c r="T32" s="42"/>
      <c r="U32" s="43"/>
      <c r="V32" s="42"/>
      <c r="W32" s="43"/>
      <c r="X32" s="42"/>
      <c r="Y32" s="43"/>
      <c r="Z32" s="40"/>
      <c r="AA32" s="40"/>
    </row>
    <row r="33" spans="1:25" x14ac:dyDescent="0.25">
      <c r="E33" s="16"/>
      <c r="F33" s="16"/>
      <c r="G33" s="14"/>
      <c r="H33" s="14"/>
      <c r="I33" s="14"/>
      <c r="J33" s="14"/>
    </row>
    <row r="34" spans="1:25" ht="30" x14ac:dyDescent="0.25">
      <c r="B34" s="132" t="s">
        <v>76</v>
      </c>
      <c r="C34" s="91" t="s">
        <v>71</v>
      </c>
      <c r="D34" s="91" t="s">
        <v>77</v>
      </c>
      <c r="E34" s="91" t="s">
        <v>78</v>
      </c>
      <c r="F34" s="104" t="s">
        <v>26</v>
      </c>
      <c r="G34" s="107" t="s">
        <v>27</v>
      </c>
      <c r="H34" s="133" t="s">
        <v>43</v>
      </c>
      <c r="I34" s="118" t="s">
        <v>86</v>
      </c>
      <c r="J34" s="122" t="s">
        <v>46</v>
      </c>
      <c r="K34" s="128" t="s">
        <v>47</v>
      </c>
      <c r="Y34"/>
    </row>
    <row r="35" spans="1:25" s="14" customFormat="1" x14ac:dyDescent="0.25">
      <c r="A35" s="71"/>
      <c r="B35" s="65" t="s">
        <v>51</v>
      </c>
      <c r="C35" s="60">
        <v>38353</v>
      </c>
      <c r="D35" s="59">
        <v>25</v>
      </c>
      <c r="E35" s="242">
        <f>K35/-I35</f>
        <v>16.000057814654248</v>
      </c>
      <c r="F35" s="222">
        <v>1245359</v>
      </c>
      <c r="G35" s="223">
        <v>398512</v>
      </c>
      <c r="H35" s="224">
        <v>846847</v>
      </c>
      <c r="I35" s="225">
        <f>F35/D35*-1</f>
        <v>-49814.36</v>
      </c>
      <c r="J35" s="226">
        <f>G35-I35</f>
        <v>448326.36</v>
      </c>
      <c r="K35" s="227">
        <f>F35-J35</f>
        <v>797032.64</v>
      </c>
      <c r="L35" s="42"/>
      <c r="M35" s="39"/>
      <c r="N35" s="42"/>
      <c r="O35" s="92"/>
      <c r="P35" s="42"/>
      <c r="Q35" s="39"/>
      <c r="R35" s="42"/>
      <c r="S35" s="39"/>
      <c r="T35" s="42"/>
      <c r="U35" s="39"/>
      <c r="V35" s="42"/>
      <c r="W35" s="40"/>
      <c r="X35" s="40"/>
    </row>
    <row r="36" spans="1:25" x14ac:dyDescent="0.25">
      <c r="B36" s="64" t="s">
        <v>48</v>
      </c>
      <c r="C36" s="45">
        <v>42005</v>
      </c>
      <c r="D36" s="44">
        <v>15</v>
      </c>
      <c r="E36" s="242">
        <f t="shared" ref="E36:E40" si="13">K36/-I36</f>
        <v>12.850184044465013</v>
      </c>
      <c r="F36" s="222">
        <v>611537</v>
      </c>
      <c r="G36" s="223">
        <v>46877</v>
      </c>
      <c r="H36" s="224">
        <v>554861</v>
      </c>
      <c r="I36" s="225">
        <f t="shared" ref="I36:I40" si="14">F36/D36*-1</f>
        <v>-40769.133333333331</v>
      </c>
      <c r="J36" s="226">
        <f t="shared" ref="J36:J40" si="15">G36-I36</f>
        <v>87646.133333333331</v>
      </c>
      <c r="K36" s="227">
        <f t="shared" ref="K36:K40" si="16">F36-J36</f>
        <v>523890.8666666667</v>
      </c>
      <c r="L36" s="42"/>
      <c r="M36" s="39"/>
      <c r="N36" s="42"/>
      <c r="O36" s="92"/>
      <c r="P36" s="42"/>
      <c r="Q36" s="39"/>
      <c r="R36" s="42"/>
      <c r="S36" s="39"/>
      <c r="T36" s="42"/>
      <c r="U36" s="39"/>
      <c r="V36" s="42"/>
      <c r="Y36"/>
    </row>
    <row r="37" spans="1:25" x14ac:dyDescent="0.25">
      <c r="B37" s="64" t="s">
        <v>49</v>
      </c>
      <c r="C37" s="45">
        <v>42005</v>
      </c>
      <c r="D37" s="44">
        <v>10</v>
      </c>
      <c r="E37" s="242">
        <f t="shared" si="13"/>
        <v>7.8998885491157305</v>
      </c>
      <c r="F37" s="222">
        <v>504258</v>
      </c>
      <c r="G37" s="223">
        <v>55474</v>
      </c>
      <c r="H37" s="224">
        <v>458583</v>
      </c>
      <c r="I37" s="225">
        <f t="shared" si="14"/>
        <v>-50425.8</v>
      </c>
      <c r="J37" s="226">
        <f t="shared" si="15"/>
        <v>105899.8</v>
      </c>
      <c r="K37" s="227">
        <f t="shared" si="16"/>
        <v>398358.2</v>
      </c>
      <c r="L37" s="42"/>
      <c r="M37" s="39"/>
      <c r="N37" s="42"/>
      <c r="O37" s="92"/>
      <c r="P37" s="42"/>
      <c r="Q37" s="39"/>
      <c r="R37" s="42"/>
      <c r="S37" s="39"/>
      <c r="T37" s="42"/>
      <c r="U37" s="39"/>
      <c r="V37" s="42"/>
      <c r="Y37"/>
    </row>
    <row r="38" spans="1:25" x14ac:dyDescent="0.25">
      <c r="B38" s="64" t="s">
        <v>52</v>
      </c>
      <c r="C38" s="45">
        <v>43100</v>
      </c>
      <c r="D38" s="44">
        <v>10</v>
      </c>
      <c r="E38" s="242">
        <f t="shared" si="13"/>
        <v>7.1544325716940493</v>
      </c>
      <c r="F38" s="222">
        <v>94708</v>
      </c>
      <c r="G38" s="223">
        <v>17479</v>
      </c>
      <c r="H38" s="224">
        <f>F38+I38*(D38-E38)</f>
        <v>67758.200000000012</v>
      </c>
      <c r="I38" s="225">
        <f t="shared" si="14"/>
        <v>-9470.7999999999993</v>
      </c>
      <c r="J38" s="226">
        <f t="shared" si="15"/>
        <v>26949.8</v>
      </c>
      <c r="K38" s="227">
        <f t="shared" si="16"/>
        <v>67758.2</v>
      </c>
      <c r="L38" s="42"/>
      <c r="M38" s="39"/>
      <c r="N38" s="42"/>
      <c r="O38" s="92"/>
      <c r="P38" s="42"/>
      <c r="Q38" s="39"/>
      <c r="R38" s="42"/>
      <c r="S38" s="39"/>
      <c r="T38" s="42"/>
      <c r="U38" s="39"/>
      <c r="V38" s="42"/>
      <c r="Y38"/>
    </row>
    <row r="39" spans="1:25" x14ac:dyDescent="0.25">
      <c r="B39" s="64" t="s">
        <v>73</v>
      </c>
      <c r="C39" s="45">
        <v>43009</v>
      </c>
      <c r="D39" s="44">
        <v>50</v>
      </c>
      <c r="E39" s="242">
        <f t="shared" si="13"/>
        <v>48.66667213470604</v>
      </c>
      <c r="F39" s="222">
        <v>2621293</v>
      </c>
      <c r="G39" s="223">
        <v>17475</v>
      </c>
      <c r="H39" s="224">
        <f>F39+I39*(D39-E39)</f>
        <v>2551392.14</v>
      </c>
      <c r="I39" s="225">
        <f t="shared" si="14"/>
        <v>-52425.86</v>
      </c>
      <c r="J39" s="226">
        <f t="shared" si="15"/>
        <v>69900.86</v>
      </c>
      <c r="K39" s="227">
        <f t="shared" si="16"/>
        <v>2551392.14</v>
      </c>
      <c r="L39" s="42"/>
      <c r="M39" s="39"/>
      <c r="N39" s="42"/>
      <c r="O39" s="92"/>
      <c r="P39" s="42"/>
      <c r="Q39" s="39"/>
      <c r="R39" s="42"/>
      <c r="S39" s="39"/>
      <c r="T39" s="42"/>
      <c r="U39" s="39"/>
      <c r="V39" s="42"/>
      <c r="Y39"/>
    </row>
    <row r="40" spans="1:25" x14ac:dyDescent="0.25">
      <c r="B40" s="64" t="s">
        <v>54</v>
      </c>
      <c r="C40" s="45">
        <v>43281</v>
      </c>
      <c r="D40" s="44">
        <v>10</v>
      </c>
      <c r="E40" s="242">
        <f t="shared" si="13"/>
        <v>8.6666493822999424</v>
      </c>
      <c r="F40" s="222">
        <v>154282</v>
      </c>
      <c r="G40" s="223">
        <v>5143</v>
      </c>
      <c r="H40" s="224">
        <f>F40+I40*(D40-E40)</f>
        <v>133710.79999999996</v>
      </c>
      <c r="I40" s="225">
        <f t="shared" si="14"/>
        <v>-15428.2</v>
      </c>
      <c r="J40" s="226">
        <f t="shared" si="15"/>
        <v>20571.2</v>
      </c>
      <c r="K40" s="227">
        <f t="shared" si="16"/>
        <v>133710.79999999999</v>
      </c>
      <c r="L40" s="42"/>
      <c r="M40" s="39"/>
      <c r="N40" s="42"/>
      <c r="O40" s="92"/>
      <c r="P40" s="42"/>
      <c r="Q40" s="39"/>
      <c r="R40" s="42"/>
      <c r="S40" s="39"/>
      <c r="T40" s="42"/>
      <c r="U40" s="39"/>
      <c r="V40" s="42"/>
      <c r="Y40"/>
    </row>
    <row r="41" spans="1:25" x14ac:dyDescent="0.25">
      <c r="B41" s="51"/>
      <c r="C41" s="52"/>
      <c r="D41" s="52"/>
      <c r="E41" s="32"/>
      <c r="F41" s="228">
        <f t="shared" ref="F41:K41" si="17">SUM(F36:F40)</f>
        <v>3986078</v>
      </c>
      <c r="G41" s="229">
        <f t="shared" si="17"/>
        <v>142448</v>
      </c>
      <c r="H41" s="230">
        <f t="shared" si="17"/>
        <v>3766305.1399999997</v>
      </c>
      <c r="I41" s="231">
        <f t="shared" si="17"/>
        <v>-168519.79333333333</v>
      </c>
      <c r="J41" s="232">
        <f t="shared" si="17"/>
        <v>310967.79333333333</v>
      </c>
      <c r="K41" s="233">
        <f t="shared" si="17"/>
        <v>3675110.2066666665</v>
      </c>
      <c r="Y41"/>
    </row>
    <row r="42" spans="1:25" x14ac:dyDescent="0.25">
      <c r="B42" s="37"/>
      <c r="C42" s="38"/>
      <c r="D42" s="38"/>
      <c r="F42" s="234"/>
      <c r="G42" s="235"/>
      <c r="H42" s="235"/>
      <c r="I42" s="235"/>
      <c r="J42" s="236"/>
      <c r="K42" s="236"/>
      <c r="Y42"/>
    </row>
    <row r="43" spans="1:25" x14ac:dyDescent="0.25">
      <c r="B43" s="12"/>
      <c r="C43" s="11"/>
      <c r="D43" s="11"/>
      <c r="F43" s="234"/>
      <c r="G43" s="235"/>
      <c r="H43" s="235"/>
      <c r="I43" s="235"/>
      <c r="J43" s="236"/>
      <c r="K43" s="236"/>
      <c r="Y43"/>
    </row>
    <row r="44" spans="1:25" x14ac:dyDescent="0.25">
      <c r="B44" s="54" t="s">
        <v>55</v>
      </c>
      <c r="C44" s="55"/>
      <c r="D44" s="55"/>
      <c r="E44" s="56"/>
      <c r="F44" s="237">
        <f t="shared" ref="F44:K44" si="18">I30+F41</f>
        <v>47969301.000000015</v>
      </c>
      <c r="G44" s="238">
        <f t="shared" si="18"/>
        <v>2025621.0000000005</v>
      </c>
      <c r="H44" s="238">
        <f t="shared" si="18"/>
        <v>45866355.139999993</v>
      </c>
      <c r="I44" s="238">
        <f t="shared" si="18"/>
        <v>-862869.91962696612</v>
      </c>
      <c r="J44" s="239">
        <f t="shared" si="18"/>
        <v>2888490.9196269657</v>
      </c>
      <c r="K44" s="239">
        <f t="shared" si="18"/>
        <v>45080810.080373026</v>
      </c>
      <c r="Y44"/>
    </row>
    <row r="48" spans="1:25" x14ac:dyDescent="0.25">
      <c r="B48" t="s">
        <v>135</v>
      </c>
    </row>
    <row r="49" spans="2:25" x14ac:dyDescent="0.25">
      <c r="B49" s="243" t="s">
        <v>134</v>
      </c>
      <c r="C49" s="244">
        <v>42278</v>
      </c>
      <c r="D49" s="245">
        <v>10</v>
      </c>
      <c r="E49" s="246">
        <f t="shared" ref="E49" si="19">K49/-I49</f>
        <v>7.7479548170708199</v>
      </c>
      <c r="F49" s="247">
        <v>648475</v>
      </c>
      <c r="G49" s="248">
        <v>81192</v>
      </c>
      <c r="H49" s="249">
        <v>502436</v>
      </c>
      <c r="I49" s="250">
        <f t="shared" ref="I49" si="20">F49/D49*-1</f>
        <v>-64847.5</v>
      </c>
      <c r="J49" s="251">
        <f t="shared" ref="J49" si="21">G49-I49</f>
        <v>146039.5</v>
      </c>
      <c r="K49" s="252">
        <f t="shared" ref="K49" si="22">F49-J49</f>
        <v>502435.5</v>
      </c>
      <c r="W49"/>
      <c r="X49"/>
      <c r="Y49"/>
    </row>
    <row r="50" spans="2:25" x14ac:dyDescent="0.25">
      <c r="I50" s="40"/>
      <c r="J50" s="40"/>
      <c r="W50"/>
      <c r="X50"/>
      <c r="Y50"/>
    </row>
    <row r="51" spans="2:25" x14ac:dyDescent="0.25">
      <c r="B51" t="s">
        <v>57</v>
      </c>
      <c r="I51" s="40"/>
      <c r="J51" s="40"/>
      <c r="W51"/>
      <c r="X51"/>
      <c r="Y51"/>
    </row>
    <row r="52" spans="2:25" x14ac:dyDescent="0.25">
      <c r="C52" t="s">
        <v>59</v>
      </c>
      <c r="I52" s="40"/>
      <c r="J52" s="40"/>
      <c r="W52"/>
      <c r="X52"/>
      <c r="Y52"/>
    </row>
    <row r="53" spans="2:25" x14ac:dyDescent="0.25">
      <c r="C53" t="s">
        <v>56</v>
      </c>
      <c r="I53" s="40"/>
      <c r="J53" s="40"/>
      <c r="W53"/>
      <c r="X53"/>
      <c r="Y53"/>
    </row>
    <row r="54" spans="2:25" x14ac:dyDescent="0.25">
      <c r="I54" s="40"/>
      <c r="J54" s="40"/>
      <c r="W54"/>
      <c r="X54"/>
      <c r="Y54"/>
    </row>
    <row r="55" spans="2:25" x14ac:dyDescent="0.25">
      <c r="C55" t="s">
        <v>58</v>
      </c>
      <c r="I55" s="40"/>
      <c r="J55" s="40"/>
      <c r="W55"/>
      <c r="X55"/>
      <c r="Y55"/>
    </row>
    <row r="56" spans="2:25" x14ac:dyDescent="0.25">
      <c r="I56" s="40"/>
      <c r="J56" s="40"/>
      <c r="W56"/>
      <c r="X56"/>
      <c r="Y56"/>
    </row>
    <row r="57" spans="2:25" x14ac:dyDescent="0.25">
      <c r="I57" s="40"/>
      <c r="J57" s="40"/>
      <c r="W57"/>
      <c r="X57"/>
      <c r="Y57"/>
    </row>
    <row r="58" spans="2:25" x14ac:dyDescent="0.25">
      <c r="I58" s="40"/>
      <c r="J58" s="40"/>
      <c r="W58"/>
      <c r="X58"/>
      <c r="Y58"/>
    </row>
    <row r="59" spans="2:25" x14ac:dyDescent="0.25">
      <c r="I59" s="40"/>
      <c r="J59" s="40"/>
      <c r="W59"/>
      <c r="X59"/>
      <c r="Y59"/>
    </row>
    <row r="60" spans="2:25" x14ac:dyDescent="0.25">
      <c r="I60" s="40"/>
      <c r="J60" s="40"/>
      <c r="W60"/>
      <c r="X60"/>
      <c r="Y60"/>
    </row>
    <row r="61" spans="2:25" x14ac:dyDescent="0.25">
      <c r="I61" s="40"/>
      <c r="J61" s="40"/>
      <c r="W61"/>
      <c r="X61"/>
      <c r="Y61"/>
    </row>
    <row r="62" spans="2:25" x14ac:dyDescent="0.25">
      <c r="I62" s="40"/>
      <c r="J62" s="40"/>
      <c r="W62"/>
      <c r="X62"/>
      <c r="Y62"/>
    </row>
    <row r="63" spans="2:25" x14ac:dyDescent="0.25">
      <c r="I63" s="40"/>
      <c r="J63" s="40"/>
      <c r="W63"/>
      <c r="X63"/>
      <c r="Y63"/>
    </row>
  </sheetData>
  <mergeCells count="4">
    <mergeCell ref="C5:D5"/>
    <mergeCell ref="C6:D6"/>
    <mergeCell ref="C7:D7"/>
    <mergeCell ref="C8:D8"/>
  </mergeCells>
  <pageMargins left="0.7" right="0.7" top="0.75" bottom="0.75" header="0.3" footer="0.3"/>
  <pageSetup paperSize="9" scale="69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showGridLines="0" workbookViewId="0">
      <selection activeCell="E10" sqref="E10"/>
    </sheetView>
  </sheetViews>
  <sheetFormatPr defaultRowHeight="15" x14ac:dyDescent="0.25"/>
  <cols>
    <col min="1" max="1" width="36.28515625" customWidth="1"/>
    <col min="2" max="2" width="12.28515625" customWidth="1"/>
    <col min="3" max="3" width="14.5703125" customWidth="1"/>
    <col min="4" max="4" width="11.28515625" style="3" customWidth="1"/>
    <col min="5" max="5" width="15.7109375" style="3" customWidth="1"/>
    <col min="6" max="7" width="13.5703125" customWidth="1"/>
    <col min="8" max="8" width="13.5703125" bestFit="1" customWidth="1"/>
    <col min="9" max="9" width="16.140625" customWidth="1"/>
    <col min="10" max="10" width="15.85546875" style="40" customWidth="1"/>
    <col min="11" max="11" width="15" style="40" customWidth="1"/>
    <col min="12" max="12" width="15.140625" style="40" customWidth="1"/>
    <col min="13" max="13" width="15.42578125" style="40" customWidth="1"/>
    <col min="14" max="14" width="14.85546875" style="95" customWidth="1"/>
    <col min="15" max="15" width="13.42578125" style="40" customWidth="1"/>
    <col min="16" max="16" width="13.28515625" style="40" bestFit="1" customWidth="1"/>
    <col min="17" max="17" width="12.42578125" style="40" customWidth="1"/>
    <col min="18" max="18" width="13.28515625" style="40" bestFit="1" customWidth="1"/>
    <col min="19" max="19" width="12.42578125" style="40" customWidth="1"/>
    <col min="20" max="20" width="15.5703125" style="40" customWidth="1"/>
    <col min="21" max="21" width="12.140625" style="40" customWidth="1"/>
    <col min="22" max="22" width="14.28515625" style="40" customWidth="1"/>
    <col min="23" max="24" width="9.140625" style="40"/>
  </cols>
  <sheetData>
    <row r="1" spans="1:27" x14ac:dyDescent="0.25">
      <c r="A1" s="1" t="s">
        <v>44</v>
      </c>
    </row>
    <row r="2" spans="1:27" x14ac:dyDescent="0.25">
      <c r="A2" s="40" t="s">
        <v>103</v>
      </c>
      <c r="E2"/>
      <c r="F2" s="40"/>
      <c r="G2" s="40"/>
      <c r="H2" s="40"/>
      <c r="I2" s="40"/>
      <c r="U2"/>
      <c r="V2"/>
      <c r="W2"/>
      <c r="X2"/>
    </row>
    <row r="3" spans="1:27" x14ac:dyDescent="0.25">
      <c r="A3" s="40" t="s">
        <v>106</v>
      </c>
      <c r="B3" s="14"/>
      <c r="C3" s="14"/>
      <c r="E3"/>
      <c r="F3" s="40"/>
      <c r="G3" s="40"/>
      <c r="H3" s="40"/>
      <c r="I3" s="40"/>
      <c r="U3"/>
      <c r="V3"/>
      <c r="W3"/>
      <c r="X3"/>
    </row>
    <row r="4" spans="1:27" x14ac:dyDescent="0.25">
      <c r="B4" s="14"/>
      <c r="C4" s="14"/>
      <c r="D4" s="16"/>
      <c r="E4"/>
      <c r="F4" s="40"/>
      <c r="G4" s="40"/>
      <c r="H4" s="40"/>
      <c r="I4" s="40"/>
      <c r="U4"/>
      <c r="V4"/>
      <c r="W4"/>
      <c r="X4"/>
    </row>
    <row r="5" spans="1:27" x14ac:dyDescent="0.25">
      <c r="A5" s="99" t="s">
        <v>20</v>
      </c>
      <c r="B5" s="254">
        <v>43983223</v>
      </c>
      <c r="C5" s="255"/>
      <c r="D5" s="16"/>
      <c r="E5"/>
      <c r="G5" s="40"/>
      <c r="H5" s="40"/>
      <c r="I5" s="40"/>
      <c r="V5"/>
      <c r="W5"/>
      <c r="X5"/>
    </row>
    <row r="6" spans="1:27" x14ac:dyDescent="0.25">
      <c r="A6" s="99" t="s">
        <v>21</v>
      </c>
      <c r="B6" s="254">
        <v>1883173</v>
      </c>
      <c r="C6" s="255"/>
      <c r="D6" s="16"/>
      <c r="F6" s="8"/>
      <c r="G6" s="8"/>
    </row>
    <row r="7" spans="1:27" x14ac:dyDescent="0.25">
      <c r="A7" s="100" t="s">
        <v>75</v>
      </c>
      <c r="B7" s="256">
        <v>2018</v>
      </c>
      <c r="C7" s="257"/>
    </row>
    <row r="8" spans="1:27" x14ac:dyDescent="0.25">
      <c r="A8" s="101" t="s">
        <v>37</v>
      </c>
      <c r="B8" s="258">
        <v>43465</v>
      </c>
      <c r="C8" s="259"/>
    </row>
    <row r="9" spans="1:27" x14ac:dyDescent="0.25">
      <c r="F9" s="3"/>
      <c r="J9"/>
      <c r="N9" s="40"/>
      <c r="O9" s="95"/>
      <c r="Y9" s="40"/>
    </row>
    <row r="10" spans="1:27" ht="45" x14ac:dyDescent="0.25">
      <c r="A10" s="89" t="s">
        <v>24</v>
      </c>
      <c r="B10" s="134" t="s">
        <v>71</v>
      </c>
      <c r="C10" s="134" t="s">
        <v>91</v>
      </c>
      <c r="D10" s="134" t="s">
        <v>89</v>
      </c>
      <c r="E10" s="193" t="s">
        <v>107</v>
      </c>
      <c r="F10" s="134" t="s">
        <v>78</v>
      </c>
      <c r="G10" s="134" t="s">
        <v>79</v>
      </c>
      <c r="H10" s="134" t="s">
        <v>80</v>
      </c>
      <c r="I10" s="104" t="s">
        <v>26</v>
      </c>
      <c r="J10" s="107" t="s">
        <v>27</v>
      </c>
      <c r="K10" s="112" t="s">
        <v>43</v>
      </c>
      <c r="L10" s="118" t="s">
        <v>108</v>
      </c>
      <c r="M10" s="122" t="s">
        <v>46</v>
      </c>
      <c r="N10" s="128" t="s">
        <v>47</v>
      </c>
      <c r="O10" s="96" t="s">
        <v>87</v>
      </c>
      <c r="P10" s="96" t="s">
        <v>92</v>
      </c>
      <c r="Q10" s="96" t="s">
        <v>94</v>
      </c>
      <c r="R10" s="39"/>
      <c r="S10" s="41"/>
      <c r="T10" s="39"/>
      <c r="U10" s="41"/>
      <c r="V10" s="39"/>
      <c r="W10" s="41"/>
      <c r="X10" s="39"/>
      <c r="Y10" s="41"/>
      <c r="Z10" s="40"/>
      <c r="AA10" s="40"/>
    </row>
    <row r="11" spans="1:27" x14ac:dyDescent="0.25">
      <c r="A11" s="63" t="s">
        <v>1</v>
      </c>
      <c r="B11" s="135">
        <v>1937</v>
      </c>
      <c r="C11" s="136">
        <v>0.3</v>
      </c>
      <c r="D11" s="135">
        <v>200</v>
      </c>
      <c r="E11" s="194">
        <f>IF(D11-(2001-B11)&lt;0,0,D11-(2001-B11))</f>
        <v>136</v>
      </c>
      <c r="F11" s="135">
        <f t="shared" ref="F11:F26" si="0">IF(D11-($B$7-B11)&gt;0,D11-($B$7-B11),0)</f>
        <v>119</v>
      </c>
      <c r="G11" s="137">
        <f t="shared" ref="G11:G26" si="1">F11/SUM($F$11:$F$26)*C11</f>
        <v>8.8148148148148156E-2</v>
      </c>
      <c r="H11" s="138">
        <f t="shared" ref="H11:H26" si="2">G11/$G$27</f>
        <v>0.62227645110685037</v>
      </c>
      <c r="I11" s="105">
        <f>$B$5*H11</f>
        <v>27369723.916681197</v>
      </c>
      <c r="J11" s="108">
        <f t="shared" ref="J11:J26" si="3">H11*$B$6</f>
        <v>1171854.2112602408</v>
      </c>
      <c r="K11" s="113">
        <f t="shared" ref="K11:K26" si="4">I11-J11</f>
        <v>26197869.705420956</v>
      </c>
      <c r="L11" s="119">
        <f>IFERROR(I11/E11*-1,0)</f>
        <v>-201247.96997559702</v>
      </c>
      <c r="M11" s="123">
        <f>J11-L11</f>
        <v>1373102.1812358378</v>
      </c>
      <c r="N11" s="129">
        <f>K11+L11</f>
        <v>25996621.735445358</v>
      </c>
      <c r="O11" s="94">
        <f t="shared" ref="O11:O26" si="5">L11*D11*-1</f>
        <v>40249593.995119408</v>
      </c>
      <c r="P11" s="144">
        <f t="shared" ref="P11:P25" si="6">ROUND(C11/$C$27,3)</f>
        <v>0.314</v>
      </c>
      <c r="Q11" s="144">
        <v>0.3</v>
      </c>
      <c r="R11" s="43"/>
      <c r="S11" s="143"/>
      <c r="T11" s="43"/>
      <c r="U11" s="42"/>
      <c r="V11" s="43"/>
      <c r="W11" s="42"/>
      <c r="X11" s="43"/>
      <c r="Y11" s="42"/>
      <c r="Z11" s="40"/>
      <c r="AA11" s="40"/>
    </row>
    <row r="12" spans="1:27" x14ac:dyDescent="0.25">
      <c r="A12" s="63" t="s">
        <v>2</v>
      </c>
      <c r="B12" s="135">
        <v>1937</v>
      </c>
      <c r="C12" s="136">
        <v>0.19</v>
      </c>
      <c r="D12" s="135">
        <v>150</v>
      </c>
      <c r="E12" s="194">
        <f t="shared" ref="E12:E26" si="7">IF(D12-(2001-B12)&lt;0,0,D12-(2001-B12))</f>
        <v>86</v>
      </c>
      <c r="F12" s="135">
        <f t="shared" si="0"/>
        <v>69</v>
      </c>
      <c r="G12" s="137">
        <f t="shared" si="1"/>
        <v>3.2370370370370369E-2</v>
      </c>
      <c r="H12" s="138">
        <f t="shared" si="2"/>
        <v>0.22851664633083493</v>
      </c>
      <c r="I12" s="105">
        <f t="shared" ref="I12:I26" si="8">$B$5*H12</f>
        <v>10050898.614781244</v>
      </c>
      <c r="J12" s="108">
        <f t="shared" si="3"/>
        <v>430336.37842077739</v>
      </c>
      <c r="K12" s="113">
        <f t="shared" si="4"/>
        <v>9620562.2363604661</v>
      </c>
      <c r="L12" s="119">
        <f t="shared" ref="L12:L26" si="9">IFERROR(I12/E12*-1,0)</f>
        <v>-116870.9141253633</v>
      </c>
      <c r="M12" s="123">
        <f t="shared" ref="M12:M26" si="10">J12-L12</f>
        <v>547207.29254614073</v>
      </c>
      <c r="N12" s="129">
        <f t="shared" ref="N12:N26" si="11">K12+L12</f>
        <v>9503691.3222351037</v>
      </c>
      <c r="O12" s="94">
        <f t="shared" si="5"/>
        <v>17530637.118804496</v>
      </c>
      <c r="P12" s="144">
        <f t="shared" si="6"/>
        <v>0.19900000000000001</v>
      </c>
      <c r="Q12" s="144">
        <v>0.19</v>
      </c>
      <c r="R12" s="43"/>
      <c r="S12" s="143"/>
      <c r="T12" s="43"/>
      <c r="U12" s="42"/>
      <c r="V12" s="43"/>
      <c r="W12" s="42"/>
      <c r="X12" s="43"/>
      <c r="Y12" s="42"/>
      <c r="Z12" s="40"/>
      <c r="AA12" s="40"/>
    </row>
    <row r="13" spans="1:27" x14ac:dyDescent="0.25">
      <c r="A13" s="63" t="s">
        <v>81</v>
      </c>
      <c r="B13" s="135">
        <v>1992</v>
      </c>
      <c r="C13" s="136">
        <v>0.02</v>
      </c>
      <c r="D13" s="135">
        <v>50</v>
      </c>
      <c r="E13" s="194">
        <f t="shared" si="7"/>
        <v>41</v>
      </c>
      <c r="F13" s="135">
        <f t="shared" si="0"/>
        <v>24</v>
      </c>
      <c r="G13" s="137">
        <f t="shared" si="1"/>
        <v>1.1851851851851852E-3</v>
      </c>
      <c r="H13" s="138">
        <f t="shared" si="2"/>
        <v>8.3667421997559704E-3</v>
      </c>
      <c r="I13" s="105">
        <f t="shared" si="8"/>
        <v>367996.28795537737</v>
      </c>
      <c r="J13" s="108">
        <f t="shared" si="3"/>
        <v>15756.023008541049</v>
      </c>
      <c r="K13" s="113">
        <f t="shared" si="4"/>
        <v>352240.26494683634</v>
      </c>
      <c r="L13" s="119">
        <f t="shared" si="9"/>
        <v>-8975.5192184238385</v>
      </c>
      <c r="M13" s="123">
        <f t="shared" si="10"/>
        <v>24731.542226964888</v>
      </c>
      <c r="N13" s="129">
        <f t="shared" si="11"/>
        <v>343264.74572841253</v>
      </c>
      <c r="O13" s="94">
        <f t="shared" si="5"/>
        <v>448775.9609211919</v>
      </c>
      <c r="P13" s="144">
        <f t="shared" si="6"/>
        <v>2.1000000000000001E-2</v>
      </c>
      <c r="Q13" s="144">
        <v>0.12</v>
      </c>
      <c r="R13" s="43"/>
      <c r="S13" s="143"/>
      <c r="T13" s="43"/>
      <c r="U13" s="42"/>
      <c r="V13" s="43"/>
      <c r="W13" s="42"/>
      <c r="X13" s="43"/>
      <c r="Y13" s="42"/>
      <c r="Z13" s="40"/>
      <c r="AA13" s="40"/>
    </row>
    <row r="14" spans="1:27" x14ac:dyDescent="0.25">
      <c r="A14" s="64" t="s">
        <v>73</v>
      </c>
      <c r="B14" s="135">
        <v>1935</v>
      </c>
      <c r="C14" s="136">
        <v>0.03</v>
      </c>
      <c r="D14" s="135">
        <v>60</v>
      </c>
      <c r="E14" s="194">
        <f t="shared" si="7"/>
        <v>0</v>
      </c>
      <c r="F14" s="135">
        <f t="shared" si="0"/>
        <v>0</v>
      </c>
      <c r="G14" s="137">
        <f t="shared" si="1"/>
        <v>0</v>
      </c>
      <c r="H14" s="138">
        <f t="shared" si="2"/>
        <v>0</v>
      </c>
      <c r="I14" s="105">
        <f t="shared" si="8"/>
        <v>0</v>
      </c>
      <c r="J14" s="108">
        <f t="shared" si="3"/>
        <v>0</v>
      </c>
      <c r="K14" s="113">
        <f t="shared" si="4"/>
        <v>0</v>
      </c>
      <c r="L14" s="119">
        <f t="shared" si="9"/>
        <v>0</v>
      </c>
      <c r="M14" s="123">
        <f t="shared" si="10"/>
        <v>0</v>
      </c>
      <c r="N14" s="129">
        <f t="shared" si="11"/>
        <v>0</v>
      </c>
      <c r="O14" s="94">
        <f t="shared" si="5"/>
        <v>0</v>
      </c>
      <c r="P14" s="144">
        <f t="shared" si="6"/>
        <v>3.1E-2</v>
      </c>
      <c r="Q14" s="144"/>
      <c r="R14" s="43"/>
      <c r="S14" s="143"/>
      <c r="T14" s="43"/>
      <c r="U14" s="42"/>
      <c r="V14" s="43"/>
      <c r="W14" s="42"/>
      <c r="X14" s="43"/>
      <c r="Y14" s="42"/>
      <c r="Z14" s="40"/>
      <c r="AA14" s="40"/>
    </row>
    <row r="15" spans="1:27" x14ac:dyDescent="0.25">
      <c r="A15" s="64" t="s">
        <v>74</v>
      </c>
      <c r="B15" s="135">
        <v>1992</v>
      </c>
      <c r="C15" s="136">
        <v>0.03</v>
      </c>
      <c r="D15" s="135">
        <v>50</v>
      </c>
      <c r="E15" s="194">
        <f t="shared" si="7"/>
        <v>41</v>
      </c>
      <c r="F15" s="135">
        <f t="shared" si="0"/>
        <v>24</v>
      </c>
      <c r="G15" s="137">
        <f t="shared" si="1"/>
        <v>1.7777777777777779E-3</v>
      </c>
      <c r="H15" s="138">
        <f t="shared" si="2"/>
        <v>1.2550113299633956E-2</v>
      </c>
      <c r="I15" s="105">
        <f t="shared" si="8"/>
        <v>551994.43193306611</v>
      </c>
      <c r="J15" s="108">
        <f t="shared" si="3"/>
        <v>23634.034512811577</v>
      </c>
      <c r="K15" s="113">
        <f t="shared" si="4"/>
        <v>528360.39742025454</v>
      </c>
      <c r="L15" s="119">
        <f t="shared" si="9"/>
        <v>-13463.278827635759</v>
      </c>
      <c r="M15" s="123">
        <f t="shared" si="10"/>
        <v>37097.313340447334</v>
      </c>
      <c r="N15" s="129">
        <f t="shared" si="11"/>
        <v>514897.11859261879</v>
      </c>
      <c r="O15" s="94">
        <f t="shared" si="5"/>
        <v>673163.94138178788</v>
      </c>
      <c r="P15" s="144">
        <f t="shared" si="6"/>
        <v>3.1E-2</v>
      </c>
      <c r="Q15" s="144"/>
      <c r="R15" s="43"/>
      <c r="S15" s="143"/>
      <c r="T15" s="43"/>
      <c r="U15" s="42"/>
      <c r="V15" s="43"/>
      <c r="W15" s="42"/>
      <c r="X15" s="43"/>
      <c r="Y15" s="42"/>
      <c r="Z15" s="40"/>
      <c r="AA15" s="40"/>
    </row>
    <row r="16" spans="1:27" x14ac:dyDescent="0.25">
      <c r="A16" s="64" t="s">
        <v>82</v>
      </c>
      <c r="B16" s="135">
        <v>1992</v>
      </c>
      <c r="C16" s="136">
        <v>0.03</v>
      </c>
      <c r="D16" s="135">
        <v>40</v>
      </c>
      <c r="E16" s="194">
        <f t="shared" si="7"/>
        <v>31</v>
      </c>
      <c r="F16" s="135">
        <f t="shared" si="0"/>
        <v>14</v>
      </c>
      <c r="G16" s="137">
        <f t="shared" si="1"/>
        <v>1.0370370370370368E-3</v>
      </c>
      <c r="H16" s="138">
        <f t="shared" si="2"/>
        <v>7.3208994247864721E-3</v>
      </c>
      <c r="I16" s="105">
        <f t="shared" si="8"/>
        <v>321996.75196095515</v>
      </c>
      <c r="J16" s="108">
        <f t="shared" si="3"/>
        <v>13786.520132473415</v>
      </c>
      <c r="K16" s="113">
        <f t="shared" si="4"/>
        <v>308210.23182848172</v>
      </c>
      <c r="L16" s="119">
        <f t="shared" si="9"/>
        <v>-10386.991998740488</v>
      </c>
      <c r="M16" s="123">
        <f t="shared" si="10"/>
        <v>24173.512131213902</v>
      </c>
      <c r="N16" s="129">
        <f t="shared" si="11"/>
        <v>297823.23982974124</v>
      </c>
      <c r="O16" s="94">
        <f t="shared" si="5"/>
        <v>415479.67994961952</v>
      </c>
      <c r="P16" s="144">
        <f t="shared" si="6"/>
        <v>3.1E-2</v>
      </c>
      <c r="Q16" s="144"/>
      <c r="R16" s="43"/>
      <c r="S16" s="143"/>
      <c r="T16" s="43"/>
      <c r="U16" s="42"/>
      <c r="V16" s="43"/>
      <c r="W16" s="42"/>
      <c r="X16" s="43"/>
      <c r="Y16" s="42"/>
      <c r="Z16" s="40"/>
      <c r="AA16" s="40"/>
    </row>
    <row r="17" spans="1:27" x14ac:dyDescent="0.25">
      <c r="A17" s="63" t="s">
        <v>4</v>
      </c>
      <c r="B17" s="135">
        <v>1992</v>
      </c>
      <c r="C17" s="192">
        <v>0.06</v>
      </c>
      <c r="D17" s="135">
        <v>40</v>
      </c>
      <c r="E17" s="194">
        <f t="shared" si="7"/>
        <v>31</v>
      </c>
      <c r="F17" s="135">
        <f t="shared" si="0"/>
        <v>14</v>
      </c>
      <c r="G17" s="137">
        <f t="shared" si="1"/>
        <v>2.0740740740740737E-3</v>
      </c>
      <c r="H17" s="138">
        <f t="shared" si="2"/>
        <v>1.4641798849572944E-2</v>
      </c>
      <c r="I17" s="105">
        <f t="shared" si="8"/>
        <v>643993.50392191031</v>
      </c>
      <c r="J17" s="108">
        <f t="shared" si="3"/>
        <v>27573.040264946831</v>
      </c>
      <c r="K17" s="113">
        <f t="shared" si="4"/>
        <v>616420.46365696343</v>
      </c>
      <c r="L17" s="119">
        <f t="shared" si="9"/>
        <v>-20773.983997480977</v>
      </c>
      <c r="M17" s="123">
        <f t="shared" si="10"/>
        <v>48347.024262427803</v>
      </c>
      <c r="N17" s="129">
        <f t="shared" si="11"/>
        <v>595646.47965948249</v>
      </c>
      <c r="O17" s="94">
        <f t="shared" si="5"/>
        <v>830959.35989923903</v>
      </c>
      <c r="P17" s="144">
        <f t="shared" si="6"/>
        <v>6.3E-2</v>
      </c>
      <c r="Q17" s="144">
        <v>0.08</v>
      </c>
      <c r="R17" s="43"/>
      <c r="S17" s="143"/>
      <c r="T17" s="43"/>
      <c r="U17" s="42"/>
      <c r="V17" s="43"/>
      <c r="W17" s="42"/>
      <c r="X17" s="43"/>
      <c r="Y17" s="42"/>
      <c r="Z17" s="40"/>
      <c r="AA17" s="40"/>
    </row>
    <row r="18" spans="1:27" x14ac:dyDescent="0.25">
      <c r="A18" s="63" t="s">
        <v>5</v>
      </c>
      <c r="B18" s="135">
        <v>1992</v>
      </c>
      <c r="C18" s="136">
        <v>0</v>
      </c>
      <c r="D18" s="135">
        <v>25</v>
      </c>
      <c r="E18" s="194">
        <f t="shared" si="7"/>
        <v>16</v>
      </c>
      <c r="F18" s="135">
        <f t="shared" si="0"/>
        <v>0</v>
      </c>
      <c r="G18" s="137">
        <f t="shared" si="1"/>
        <v>0</v>
      </c>
      <c r="H18" s="138">
        <f t="shared" si="2"/>
        <v>0</v>
      </c>
      <c r="I18" s="105">
        <f t="shared" si="8"/>
        <v>0</v>
      </c>
      <c r="J18" s="108">
        <f t="shared" si="3"/>
        <v>0</v>
      </c>
      <c r="K18" s="113">
        <f t="shared" si="4"/>
        <v>0</v>
      </c>
      <c r="L18" s="119">
        <f t="shared" si="9"/>
        <v>0</v>
      </c>
      <c r="M18" s="123">
        <f t="shared" si="10"/>
        <v>0</v>
      </c>
      <c r="N18" s="129">
        <f t="shared" si="11"/>
        <v>0</v>
      </c>
      <c r="O18" s="94">
        <f t="shared" si="5"/>
        <v>0</v>
      </c>
      <c r="P18" s="144">
        <f t="shared" si="6"/>
        <v>0</v>
      </c>
      <c r="Q18" s="144">
        <v>0</v>
      </c>
      <c r="R18" s="43"/>
      <c r="S18" s="143"/>
      <c r="T18" s="43"/>
      <c r="U18" s="42"/>
      <c r="V18" s="43"/>
      <c r="W18" s="42"/>
      <c r="X18" s="43"/>
      <c r="Y18" s="42"/>
      <c r="Z18" s="40"/>
      <c r="AA18" s="40"/>
    </row>
    <row r="19" spans="1:27" x14ac:dyDescent="0.25">
      <c r="A19" s="63" t="s">
        <v>6</v>
      </c>
      <c r="B19" s="135">
        <v>1992</v>
      </c>
      <c r="C19" s="136">
        <v>0.05</v>
      </c>
      <c r="D19" s="135">
        <v>50</v>
      </c>
      <c r="E19" s="194">
        <f t="shared" si="7"/>
        <v>41</v>
      </c>
      <c r="F19" s="135">
        <f t="shared" si="0"/>
        <v>24</v>
      </c>
      <c r="G19" s="137">
        <f t="shared" si="1"/>
        <v>2.9629629629629632E-3</v>
      </c>
      <c r="H19" s="138">
        <f t="shared" si="2"/>
        <v>2.0916855499389927E-2</v>
      </c>
      <c r="I19" s="105">
        <f t="shared" si="8"/>
        <v>919990.71988844348</v>
      </c>
      <c r="J19" s="108">
        <f t="shared" si="3"/>
        <v>39390.057521352624</v>
      </c>
      <c r="K19" s="113">
        <f t="shared" si="4"/>
        <v>880600.66236709082</v>
      </c>
      <c r="L19" s="119">
        <f t="shared" si="9"/>
        <v>-22438.798046059597</v>
      </c>
      <c r="M19" s="123">
        <f t="shared" si="10"/>
        <v>61828.855567412218</v>
      </c>
      <c r="N19" s="129">
        <f t="shared" si="11"/>
        <v>858161.86432103126</v>
      </c>
      <c r="O19" s="94">
        <f t="shared" si="5"/>
        <v>1121939.90230298</v>
      </c>
      <c r="P19" s="144">
        <f t="shared" si="6"/>
        <v>5.1999999999999998E-2</v>
      </c>
      <c r="Q19" s="144">
        <v>0.05</v>
      </c>
      <c r="R19" s="43"/>
      <c r="S19" s="143"/>
      <c r="T19" s="43"/>
      <c r="U19" s="42"/>
      <c r="V19" s="43"/>
      <c r="W19" s="42"/>
      <c r="X19" s="43"/>
      <c r="Y19" s="42"/>
      <c r="Z19" s="40"/>
      <c r="AA19" s="40"/>
    </row>
    <row r="20" spans="1:27" x14ac:dyDescent="0.25">
      <c r="A20" s="63" t="s">
        <v>7</v>
      </c>
      <c r="B20" s="135">
        <v>1992</v>
      </c>
      <c r="C20" s="136">
        <v>0.03</v>
      </c>
      <c r="D20" s="135">
        <v>50</v>
      </c>
      <c r="E20" s="194">
        <f t="shared" si="7"/>
        <v>41</v>
      </c>
      <c r="F20" s="135">
        <f t="shared" si="0"/>
        <v>24</v>
      </c>
      <c r="G20" s="137">
        <f t="shared" si="1"/>
        <v>1.7777777777777779E-3</v>
      </c>
      <c r="H20" s="138">
        <f t="shared" si="2"/>
        <v>1.2550113299633956E-2</v>
      </c>
      <c r="I20" s="105">
        <f t="shared" si="8"/>
        <v>551994.43193306611</v>
      </c>
      <c r="J20" s="108">
        <f t="shared" si="3"/>
        <v>23634.034512811577</v>
      </c>
      <c r="K20" s="113">
        <f t="shared" si="4"/>
        <v>528360.39742025454</v>
      </c>
      <c r="L20" s="119">
        <f t="shared" si="9"/>
        <v>-13463.278827635759</v>
      </c>
      <c r="M20" s="123">
        <f t="shared" si="10"/>
        <v>37097.313340447334</v>
      </c>
      <c r="N20" s="129">
        <f t="shared" si="11"/>
        <v>514897.11859261879</v>
      </c>
      <c r="O20" s="94">
        <f t="shared" si="5"/>
        <v>673163.94138178788</v>
      </c>
      <c r="P20" s="144">
        <f t="shared" si="6"/>
        <v>3.1E-2</v>
      </c>
      <c r="Q20" s="144">
        <v>0.03</v>
      </c>
      <c r="R20" s="43"/>
      <c r="S20" s="143"/>
      <c r="T20" s="43"/>
      <c r="U20" s="42"/>
      <c r="V20" s="43"/>
      <c r="W20" s="42"/>
      <c r="X20" s="43"/>
      <c r="Y20" s="42"/>
      <c r="Z20" s="40"/>
      <c r="AA20" s="40"/>
    </row>
    <row r="21" spans="1:27" x14ac:dyDescent="0.25">
      <c r="A21" s="63" t="s">
        <v>8</v>
      </c>
      <c r="B21" s="135">
        <v>1992</v>
      </c>
      <c r="C21" s="136">
        <v>0.03</v>
      </c>
      <c r="D21" s="135">
        <v>30</v>
      </c>
      <c r="E21" s="194">
        <f t="shared" si="7"/>
        <v>21</v>
      </c>
      <c r="F21" s="135">
        <f t="shared" si="0"/>
        <v>4</v>
      </c>
      <c r="G21" s="137">
        <f t="shared" si="1"/>
        <v>2.9629629629629629E-4</v>
      </c>
      <c r="H21" s="138">
        <f t="shared" si="2"/>
        <v>2.0916855499389926E-3</v>
      </c>
      <c r="I21" s="105">
        <f t="shared" si="8"/>
        <v>91999.071988844342</v>
      </c>
      <c r="J21" s="108">
        <f t="shared" si="3"/>
        <v>3939.0057521352624</v>
      </c>
      <c r="K21" s="113">
        <f t="shared" si="4"/>
        <v>88060.066236709084</v>
      </c>
      <c r="L21" s="119">
        <f t="shared" si="9"/>
        <v>-4380.9081899449684</v>
      </c>
      <c r="M21" s="123">
        <f t="shared" si="10"/>
        <v>8319.9139420802312</v>
      </c>
      <c r="N21" s="129">
        <f t="shared" si="11"/>
        <v>83679.158046764118</v>
      </c>
      <c r="O21" s="94">
        <f t="shared" si="5"/>
        <v>131427.24569834906</v>
      </c>
      <c r="P21" s="144">
        <f t="shared" si="6"/>
        <v>3.1E-2</v>
      </c>
      <c r="Q21" s="144">
        <v>0.03</v>
      </c>
      <c r="R21" s="43"/>
      <c r="S21" s="143"/>
      <c r="T21" s="43"/>
      <c r="U21" s="42"/>
      <c r="V21" s="43"/>
      <c r="W21" s="42"/>
      <c r="X21" s="43"/>
      <c r="Y21" s="42"/>
      <c r="Z21" s="40"/>
      <c r="AA21" s="40"/>
    </row>
    <row r="22" spans="1:27" s="14" customFormat="1" x14ac:dyDescent="0.25">
      <c r="A22" s="63" t="s">
        <v>9</v>
      </c>
      <c r="B22" s="135">
        <v>2005</v>
      </c>
      <c r="C22" s="136">
        <v>0.02</v>
      </c>
      <c r="D22" s="135">
        <v>40</v>
      </c>
      <c r="E22" s="194">
        <f t="shared" si="7"/>
        <v>44</v>
      </c>
      <c r="F22" s="135">
        <f t="shared" si="0"/>
        <v>27</v>
      </c>
      <c r="G22" s="137">
        <f t="shared" si="1"/>
        <v>1.3333333333333333E-3</v>
      </c>
      <c r="H22" s="138">
        <f t="shared" si="2"/>
        <v>9.4125849747254669E-3</v>
      </c>
      <c r="I22" s="105">
        <f t="shared" si="8"/>
        <v>413995.82394979958</v>
      </c>
      <c r="J22" s="108">
        <f t="shared" si="3"/>
        <v>17725.52588460868</v>
      </c>
      <c r="K22" s="113">
        <f t="shared" si="4"/>
        <v>396270.2980651909</v>
      </c>
      <c r="L22" s="119">
        <f t="shared" si="9"/>
        <v>-9408.9959988590817</v>
      </c>
      <c r="M22" s="123">
        <f t="shared" si="10"/>
        <v>27134.521883467762</v>
      </c>
      <c r="N22" s="129">
        <f t="shared" si="11"/>
        <v>386861.30206633185</v>
      </c>
      <c r="O22" s="94">
        <f t="shared" si="5"/>
        <v>376359.8399543633</v>
      </c>
      <c r="P22" s="144">
        <f t="shared" si="6"/>
        <v>2.1000000000000001E-2</v>
      </c>
      <c r="Q22" s="144">
        <v>0.02</v>
      </c>
      <c r="R22" s="43"/>
      <c r="S22" s="143"/>
      <c r="T22" s="43"/>
      <c r="U22" s="42"/>
      <c r="V22" s="43"/>
      <c r="W22" s="42"/>
      <c r="X22" s="43"/>
      <c r="Y22" s="42"/>
      <c r="Z22" s="40"/>
      <c r="AA22" s="40"/>
    </row>
    <row r="23" spans="1:27" x14ac:dyDescent="0.25">
      <c r="A23" s="66" t="s">
        <v>10</v>
      </c>
      <c r="B23" s="135">
        <v>1992</v>
      </c>
      <c r="C23" s="192">
        <v>5.0000000000000001E-3</v>
      </c>
      <c r="D23" s="135">
        <v>50</v>
      </c>
      <c r="E23" s="194">
        <f t="shared" si="7"/>
        <v>41</v>
      </c>
      <c r="F23" s="135">
        <f t="shared" si="0"/>
        <v>24</v>
      </c>
      <c r="G23" s="137">
        <f t="shared" si="1"/>
        <v>2.9629629629629629E-4</v>
      </c>
      <c r="H23" s="138">
        <f t="shared" si="2"/>
        <v>2.0916855499389926E-3</v>
      </c>
      <c r="I23" s="105">
        <f t="shared" si="8"/>
        <v>91999.071988844342</v>
      </c>
      <c r="J23" s="108">
        <f t="shared" si="3"/>
        <v>3939.0057521352624</v>
      </c>
      <c r="K23" s="113">
        <f t="shared" si="4"/>
        <v>88060.066236709084</v>
      </c>
      <c r="L23" s="119">
        <f t="shared" si="9"/>
        <v>-2243.8798046059596</v>
      </c>
      <c r="M23" s="123">
        <f t="shared" si="10"/>
        <v>6182.885556741222</v>
      </c>
      <c r="N23" s="129">
        <f t="shared" si="11"/>
        <v>85816.186432103132</v>
      </c>
      <c r="O23" s="94">
        <f t="shared" si="5"/>
        <v>112193.99023029798</v>
      </c>
      <c r="P23" s="144">
        <f t="shared" si="6"/>
        <v>5.0000000000000001E-3</v>
      </c>
      <c r="Q23" s="144">
        <v>0.02</v>
      </c>
      <c r="R23" s="43"/>
      <c r="S23" s="143"/>
      <c r="T23" s="43"/>
      <c r="U23" s="42"/>
      <c r="V23" s="43"/>
      <c r="W23" s="42"/>
      <c r="X23" s="43"/>
      <c r="Y23" s="42"/>
      <c r="Z23" s="40"/>
      <c r="AA23" s="40"/>
    </row>
    <row r="24" spans="1:27" x14ac:dyDescent="0.25">
      <c r="A24" s="63" t="s">
        <v>11</v>
      </c>
      <c r="B24" s="135">
        <v>1992</v>
      </c>
      <c r="C24" s="136">
        <v>0.02</v>
      </c>
      <c r="D24" s="135">
        <v>40</v>
      </c>
      <c r="E24" s="194">
        <f t="shared" si="7"/>
        <v>31</v>
      </c>
      <c r="F24" s="135">
        <f t="shared" si="0"/>
        <v>14</v>
      </c>
      <c r="G24" s="137">
        <f t="shared" si="1"/>
        <v>6.91358024691358E-4</v>
      </c>
      <c r="H24" s="138">
        <f t="shared" si="2"/>
        <v>4.8805996165243153E-3</v>
      </c>
      <c r="I24" s="105">
        <f t="shared" si="8"/>
        <v>214664.50130730344</v>
      </c>
      <c r="J24" s="108">
        <f t="shared" si="3"/>
        <v>9191.0134216489441</v>
      </c>
      <c r="K24" s="113">
        <f t="shared" si="4"/>
        <v>205473.4878856545</v>
      </c>
      <c r="L24" s="119">
        <f t="shared" si="9"/>
        <v>-6924.6613324936588</v>
      </c>
      <c r="M24" s="123">
        <f t="shared" si="10"/>
        <v>16115.674754142603</v>
      </c>
      <c r="N24" s="129">
        <f t="shared" si="11"/>
        <v>198548.82655316085</v>
      </c>
      <c r="O24" s="94">
        <f t="shared" si="5"/>
        <v>276986.45329974638</v>
      </c>
      <c r="P24" s="144">
        <f t="shared" si="6"/>
        <v>2.1000000000000001E-2</v>
      </c>
      <c r="Q24" s="144">
        <v>0.02</v>
      </c>
      <c r="R24" s="43"/>
      <c r="S24" s="143"/>
      <c r="T24" s="43"/>
      <c r="U24" s="42"/>
      <c r="V24" s="43"/>
      <c r="W24" s="42"/>
      <c r="X24" s="43"/>
      <c r="Y24" s="42"/>
      <c r="Z24" s="40"/>
      <c r="AA24" s="40"/>
    </row>
    <row r="25" spans="1:27" x14ac:dyDescent="0.25">
      <c r="A25" s="63" t="s">
        <v>12</v>
      </c>
      <c r="B25" s="135">
        <v>1992</v>
      </c>
      <c r="C25" s="136">
        <v>0.01</v>
      </c>
      <c r="D25" s="135">
        <v>20</v>
      </c>
      <c r="E25" s="194">
        <f t="shared" si="7"/>
        <v>11</v>
      </c>
      <c r="F25" s="135">
        <f t="shared" si="0"/>
        <v>0</v>
      </c>
      <c r="G25" s="137">
        <f t="shared" si="1"/>
        <v>0</v>
      </c>
      <c r="H25" s="138">
        <f t="shared" si="2"/>
        <v>0</v>
      </c>
      <c r="I25" s="105">
        <f t="shared" si="8"/>
        <v>0</v>
      </c>
      <c r="J25" s="108">
        <f t="shared" si="3"/>
        <v>0</v>
      </c>
      <c r="K25" s="113">
        <f t="shared" si="4"/>
        <v>0</v>
      </c>
      <c r="L25" s="119">
        <f t="shared" si="9"/>
        <v>0</v>
      </c>
      <c r="M25" s="123">
        <f t="shared" si="10"/>
        <v>0</v>
      </c>
      <c r="N25" s="129">
        <f t="shared" si="11"/>
        <v>0</v>
      </c>
      <c r="O25" s="94">
        <f t="shared" si="5"/>
        <v>0</v>
      </c>
      <c r="P25" s="144">
        <f t="shared" si="6"/>
        <v>0.01</v>
      </c>
      <c r="Q25" s="144">
        <v>0.01</v>
      </c>
      <c r="R25" s="43"/>
      <c r="S25" s="143"/>
      <c r="T25" s="43"/>
      <c r="U25" s="42"/>
      <c r="V25" s="43"/>
      <c r="W25" s="42"/>
      <c r="X25" s="43"/>
      <c r="Y25" s="42"/>
      <c r="Z25" s="40"/>
      <c r="AA25" s="40"/>
    </row>
    <row r="26" spans="1:27" x14ac:dyDescent="0.25">
      <c r="A26" s="67" t="s">
        <v>13</v>
      </c>
      <c r="B26" s="139">
        <v>1992</v>
      </c>
      <c r="C26" s="140">
        <v>0.13</v>
      </c>
      <c r="D26" s="139">
        <v>50</v>
      </c>
      <c r="E26" s="194">
        <f t="shared" si="7"/>
        <v>41</v>
      </c>
      <c r="F26" s="139">
        <f t="shared" si="0"/>
        <v>24</v>
      </c>
      <c r="G26" s="141">
        <f t="shared" si="1"/>
        <v>7.7037037037037039E-3</v>
      </c>
      <c r="H26" s="142">
        <f t="shared" si="2"/>
        <v>5.4383824298413805E-2</v>
      </c>
      <c r="I26" s="106">
        <f t="shared" si="8"/>
        <v>2391975.8717099531</v>
      </c>
      <c r="J26" s="109">
        <f t="shared" si="3"/>
        <v>102414.14955551682</v>
      </c>
      <c r="K26" s="114">
        <f t="shared" si="4"/>
        <v>2289561.7221544362</v>
      </c>
      <c r="L26" s="119">
        <f t="shared" si="9"/>
        <v>-58340.874919754955</v>
      </c>
      <c r="M26" s="124">
        <f t="shared" si="10"/>
        <v>160755.02447527178</v>
      </c>
      <c r="N26" s="129">
        <f t="shared" si="11"/>
        <v>2231220.8472346812</v>
      </c>
      <c r="O26" s="94">
        <f t="shared" si="5"/>
        <v>2917043.7459877478</v>
      </c>
      <c r="P26" s="144">
        <f>1-SUM(P11:P25)</f>
        <v>0.13899999999999968</v>
      </c>
      <c r="Q26" s="144">
        <v>0.13</v>
      </c>
      <c r="R26" s="43"/>
      <c r="S26" s="143"/>
      <c r="T26" s="43"/>
      <c r="U26" s="42"/>
      <c r="V26" s="43"/>
      <c r="W26" s="42"/>
      <c r="X26" s="43"/>
      <c r="Y26" s="42"/>
      <c r="Z26" s="40"/>
      <c r="AA26" s="40"/>
    </row>
    <row r="27" spans="1:27" x14ac:dyDescent="0.25">
      <c r="A27" s="80" t="s">
        <v>83</v>
      </c>
      <c r="B27" s="179" t="s">
        <v>72</v>
      </c>
      <c r="C27" s="180">
        <f>SUM(C11:C26)</f>
        <v>0.95500000000000029</v>
      </c>
      <c r="D27" s="181" t="s">
        <v>72</v>
      </c>
      <c r="E27" s="195">
        <f t="shared" ref="E27:Q27" si="12">SUM(E11:E26)</f>
        <v>653</v>
      </c>
      <c r="F27" s="182">
        <f t="shared" si="12"/>
        <v>405</v>
      </c>
      <c r="G27" s="183">
        <f t="shared" si="12"/>
        <v>0.14165432098765432</v>
      </c>
      <c r="H27" s="180">
        <f t="shared" si="12"/>
        <v>1</v>
      </c>
      <c r="I27" s="105">
        <f t="shared" si="12"/>
        <v>43983223</v>
      </c>
      <c r="J27" s="108">
        <f t="shared" si="12"/>
        <v>1883173.0000000002</v>
      </c>
      <c r="K27" s="115">
        <f t="shared" si="12"/>
        <v>42100050.000000015</v>
      </c>
      <c r="L27" s="120">
        <f t="shared" si="12"/>
        <v>-488920.05526259536</v>
      </c>
      <c r="M27" s="125">
        <f t="shared" si="12"/>
        <v>2372093.0552625959</v>
      </c>
      <c r="N27" s="131">
        <f t="shared" si="12"/>
        <v>41611129.944737405</v>
      </c>
      <c r="O27" s="97">
        <f t="shared" si="12"/>
        <v>65757725.17493102</v>
      </c>
      <c r="P27" s="145">
        <f t="shared" si="12"/>
        <v>1</v>
      </c>
      <c r="Q27" s="145">
        <f t="shared" si="12"/>
        <v>1</v>
      </c>
      <c r="R27" s="42"/>
      <c r="S27" s="43"/>
      <c r="T27" s="42"/>
      <c r="U27" s="43"/>
      <c r="V27" s="42"/>
      <c r="W27" s="43"/>
      <c r="X27" s="42"/>
      <c r="Y27" s="43"/>
      <c r="Z27" s="40"/>
      <c r="AA27" s="40"/>
    </row>
    <row r="28" spans="1:27" x14ac:dyDescent="0.25">
      <c r="A28" s="80" t="s">
        <v>84</v>
      </c>
      <c r="B28" s="184">
        <f t="shared" ref="B28:H28" si="13">AVERAGE(B11:B26)</f>
        <v>1982.375</v>
      </c>
      <c r="C28" s="185">
        <f t="shared" si="13"/>
        <v>5.9687500000000018E-2</v>
      </c>
      <c r="D28" s="186">
        <f t="shared" si="13"/>
        <v>59.0625</v>
      </c>
      <c r="E28" s="196">
        <f t="shared" si="13"/>
        <v>40.8125</v>
      </c>
      <c r="F28" s="186">
        <f t="shared" si="13"/>
        <v>25.3125</v>
      </c>
      <c r="G28" s="187">
        <f t="shared" si="13"/>
        <v>8.853395061728395E-3</v>
      </c>
      <c r="H28" s="185">
        <f t="shared" si="13"/>
        <v>6.25E-2</v>
      </c>
      <c r="I28" s="16"/>
      <c r="J28" s="16"/>
      <c r="K28" s="16"/>
      <c r="L28" s="11"/>
      <c r="M28" s="43"/>
      <c r="N28" s="42"/>
      <c r="O28" s="93"/>
      <c r="P28" s="143"/>
      <c r="Q28" s="43"/>
      <c r="R28" s="42"/>
      <c r="S28" s="43"/>
      <c r="T28" s="42"/>
      <c r="U28" s="43"/>
      <c r="V28" s="42"/>
      <c r="W28" s="43"/>
      <c r="X28" s="42"/>
      <c r="Y28" s="43"/>
      <c r="Z28" s="40"/>
      <c r="AA28" s="40"/>
    </row>
    <row r="29" spans="1:27" ht="15.75" x14ac:dyDescent="0.25">
      <c r="A29" s="197" t="s">
        <v>85</v>
      </c>
      <c r="B29" s="198">
        <f>SUMPRODUCT(B11:B26,C11:C26)/SUM(C11:C26)</f>
        <v>1962.2617801047115</v>
      </c>
      <c r="C29" s="205">
        <f>SUMPRODUCT(C11:C26,D11:D26)/SUM(D11:D26)</f>
        <v>0.11624338624338625</v>
      </c>
      <c r="D29" s="198">
        <f>SUMPRODUCT(D11:D26,C11:C26)/SUM(C11:C26)</f>
        <v>115.02617801047118</v>
      </c>
      <c r="E29" s="199">
        <f>SUMPRODUCT(E11:E26,C11:C26)/SUM(C11:C26)</f>
        <v>76.476439790575895</v>
      </c>
      <c r="F29" s="198">
        <f>SUMPRODUCT(F11:F26,C11:C26)/SUM(C11:C26)</f>
        <v>60.073298429319344</v>
      </c>
      <c r="G29" s="189">
        <f>E29-F29</f>
        <v>16.403141361256552</v>
      </c>
      <c r="H29" s="189"/>
      <c r="I29" s="90"/>
      <c r="J29" s="16"/>
      <c r="K29" s="16"/>
      <c r="L29" s="11"/>
      <c r="M29" s="43"/>
      <c r="N29" s="42"/>
      <c r="O29" s="93"/>
      <c r="P29" s="42"/>
      <c r="Q29" s="43"/>
      <c r="R29" s="42"/>
      <c r="S29" s="43"/>
      <c r="T29" s="42"/>
      <c r="U29" s="43"/>
      <c r="V29" s="42"/>
      <c r="W29" s="43"/>
      <c r="X29" s="42"/>
      <c r="Y29" s="43"/>
      <c r="Z29" s="40"/>
      <c r="AA29" s="40"/>
    </row>
    <row r="30" spans="1:27" x14ac:dyDescent="0.25">
      <c r="D30" s="16"/>
      <c r="E30" s="16"/>
      <c r="F30" s="14"/>
      <c r="G30" s="14"/>
      <c r="H30" s="14"/>
      <c r="I30" s="14"/>
    </row>
    <row r="31" spans="1:27" ht="30" x14ac:dyDescent="0.25">
      <c r="A31" s="132" t="s">
        <v>76</v>
      </c>
      <c r="B31" s="91" t="s">
        <v>71</v>
      </c>
      <c r="C31" s="91" t="s">
        <v>77</v>
      </c>
      <c r="D31" s="91" t="s">
        <v>78</v>
      </c>
      <c r="E31" s="104" t="s">
        <v>26</v>
      </c>
      <c r="F31" s="107" t="s">
        <v>27</v>
      </c>
      <c r="G31" s="133" t="s">
        <v>43</v>
      </c>
      <c r="H31" s="118" t="s">
        <v>86</v>
      </c>
      <c r="I31" s="122" t="s">
        <v>46</v>
      </c>
      <c r="J31" s="128" t="s">
        <v>47</v>
      </c>
      <c r="X31"/>
    </row>
    <row r="32" spans="1:27" x14ac:dyDescent="0.25">
      <c r="A32" s="64" t="s">
        <v>48</v>
      </c>
      <c r="B32" s="45">
        <v>42005</v>
      </c>
      <c r="C32" s="44">
        <v>15</v>
      </c>
      <c r="D32" s="46">
        <f t="shared" ref="D32:D38" si="14">IF(C32-ROUND(($B$8-B32)/365,2)&lt;0,0,C32-ROUND(($B$8-B32)/365,2))</f>
        <v>11</v>
      </c>
      <c r="E32" s="102">
        <v>611537</v>
      </c>
      <c r="F32" s="110">
        <v>46877</v>
      </c>
      <c r="G32" s="116">
        <v>554861</v>
      </c>
      <c r="H32" s="121">
        <f t="shared" ref="H32:H38" si="15">E32/C32*-1</f>
        <v>-40769.133333333331</v>
      </c>
      <c r="I32" s="126">
        <f t="shared" ref="I32:I38" si="16">F32-H32</f>
        <v>87646.133333333331</v>
      </c>
      <c r="J32" s="130">
        <f t="shared" ref="J32:J38" si="17">E32-I32</f>
        <v>523890.8666666667</v>
      </c>
      <c r="K32" s="42"/>
      <c r="L32" s="39"/>
      <c r="M32" s="42"/>
      <c r="N32" s="92"/>
      <c r="O32" s="42"/>
      <c r="P32" s="39"/>
      <c r="Q32" s="42"/>
      <c r="R32" s="39"/>
      <c r="S32" s="42"/>
      <c r="T32" s="39"/>
      <c r="U32" s="42"/>
      <c r="X32"/>
    </row>
    <row r="33" spans="1:24" x14ac:dyDescent="0.25">
      <c r="A33" s="64" t="s">
        <v>49</v>
      </c>
      <c r="B33" s="45">
        <v>42005</v>
      </c>
      <c r="C33" s="44">
        <v>10</v>
      </c>
      <c r="D33" s="46">
        <f t="shared" si="14"/>
        <v>6</v>
      </c>
      <c r="E33" s="102">
        <v>504258</v>
      </c>
      <c r="F33" s="110">
        <v>55474</v>
      </c>
      <c r="G33" s="116">
        <v>458583</v>
      </c>
      <c r="H33" s="121">
        <f t="shared" si="15"/>
        <v>-50425.8</v>
      </c>
      <c r="I33" s="126">
        <f t="shared" si="16"/>
        <v>105899.8</v>
      </c>
      <c r="J33" s="130">
        <f t="shared" si="17"/>
        <v>398358.2</v>
      </c>
      <c r="K33" s="42"/>
      <c r="L33" s="39"/>
      <c r="M33" s="42"/>
      <c r="N33" s="92"/>
      <c r="O33" s="42"/>
      <c r="P33" s="39"/>
      <c r="Q33" s="42"/>
      <c r="R33" s="39"/>
      <c r="S33" s="42"/>
      <c r="T33" s="39"/>
      <c r="U33" s="42"/>
      <c r="X33"/>
    </row>
    <row r="34" spans="1:24" x14ac:dyDescent="0.25">
      <c r="A34" s="64" t="s">
        <v>50</v>
      </c>
      <c r="B34" s="45">
        <v>42278</v>
      </c>
      <c r="C34" s="44">
        <v>10</v>
      </c>
      <c r="D34" s="46">
        <f t="shared" si="14"/>
        <v>6.75</v>
      </c>
      <c r="E34" s="102">
        <v>648475</v>
      </c>
      <c r="F34" s="110">
        <v>81192</v>
      </c>
      <c r="G34" s="116">
        <v>502436</v>
      </c>
      <c r="H34" s="121">
        <f t="shared" si="15"/>
        <v>-64847.5</v>
      </c>
      <c r="I34" s="126">
        <f t="shared" si="16"/>
        <v>146039.5</v>
      </c>
      <c r="J34" s="130">
        <f t="shared" si="17"/>
        <v>502435.5</v>
      </c>
      <c r="K34" s="42"/>
      <c r="L34" s="39"/>
      <c r="M34" s="42"/>
      <c r="N34" s="92"/>
      <c r="O34" s="42"/>
      <c r="P34" s="39"/>
      <c r="Q34" s="42"/>
      <c r="R34" s="39"/>
      <c r="S34" s="42"/>
      <c r="T34" s="39"/>
      <c r="U34" s="42"/>
      <c r="X34"/>
    </row>
    <row r="35" spans="1:24" s="14" customFormat="1" x14ac:dyDescent="0.25">
      <c r="A35" s="65" t="s">
        <v>51</v>
      </c>
      <c r="B35" s="60">
        <v>38353</v>
      </c>
      <c r="C35" s="59">
        <v>25</v>
      </c>
      <c r="D35" s="61">
        <f t="shared" si="14"/>
        <v>10.99</v>
      </c>
      <c r="E35" s="102">
        <v>1245359</v>
      </c>
      <c r="F35" s="110">
        <v>398512</v>
      </c>
      <c r="G35" s="116">
        <v>846847</v>
      </c>
      <c r="H35" s="121">
        <f t="shared" si="15"/>
        <v>-49814.36</v>
      </c>
      <c r="I35" s="126">
        <f t="shared" si="16"/>
        <v>448326.36</v>
      </c>
      <c r="J35" s="130">
        <f t="shared" si="17"/>
        <v>797032.64</v>
      </c>
      <c r="K35" s="42"/>
      <c r="L35" s="39"/>
      <c r="M35" s="42"/>
      <c r="N35" s="92"/>
      <c r="O35" s="42"/>
      <c r="P35" s="39"/>
      <c r="Q35" s="42"/>
      <c r="R35" s="39"/>
      <c r="S35" s="42"/>
      <c r="T35" s="39"/>
      <c r="U35" s="42"/>
      <c r="V35" s="40"/>
      <c r="W35" s="40"/>
    </row>
    <row r="36" spans="1:24" x14ac:dyDescent="0.25">
      <c r="A36" s="64" t="s">
        <v>52</v>
      </c>
      <c r="B36" s="45">
        <v>43100</v>
      </c>
      <c r="C36" s="44">
        <v>10</v>
      </c>
      <c r="D36" s="46">
        <f t="shared" si="14"/>
        <v>9</v>
      </c>
      <c r="E36" s="102">
        <v>94708</v>
      </c>
      <c r="F36" s="110">
        <v>17479</v>
      </c>
      <c r="G36" s="116">
        <f>E36+H36*(C36-D36)</f>
        <v>85237.2</v>
      </c>
      <c r="H36" s="121">
        <f t="shared" si="15"/>
        <v>-9470.7999999999993</v>
      </c>
      <c r="I36" s="126">
        <f t="shared" si="16"/>
        <v>26949.8</v>
      </c>
      <c r="J36" s="130">
        <f t="shared" si="17"/>
        <v>67758.2</v>
      </c>
      <c r="K36" s="42"/>
      <c r="L36" s="39"/>
      <c r="M36" s="42"/>
      <c r="N36" s="92"/>
      <c r="O36" s="42"/>
      <c r="P36" s="39"/>
      <c r="Q36" s="42"/>
      <c r="R36" s="39"/>
      <c r="S36" s="42"/>
      <c r="T36" s="39"/>
      <c r="U36" s="42"/>
      <c r="X36"/>
    </row>
    <row r="37" spans="1:24" x14ac:dyDescent="0.25">
      <c r="A37" s="64" t="s">
        <v>73</v>
      </c>
      <c r="B37" s="45">
        <v>43009</v>
      </c>
      <c r="C37" s="44">
        <v>50</v>
      </c>
      <c r="D37" s="46">
        <f t="shared" si="14"/>
        <v>48.75</v>
      </c>
      <c r="E37" s="102">
        <v>2621293</v>
      </c>
      <c r="F37" s="110">
        <v>17475</v>
      </c>
      <c r="G37" s="116">
        <f>E37+H37*(C37-D37)</f>
        <v>2555760.6749999998</v>
      </c>
      <c r="H37" s="121">
        <f t="shared" si="15"/>
        <v>-52425.86</v>
      </c>
      <c r="I37" s="126">
        <f t="shared" si="16"/>
        <v>69900.86</v>
      </c>
      <c r="J37" s="130">
        <f t="shared" si="17"/>
        <v>2551392.14</v>
      </c>
      <c r="K37" s="42"/>
      <c r="L37" s="39"/>
      <c r="M37" s="42"/>
      <c r="N37" s="92"/>
      <c r="O37" s="42"/>
      <c r="P37" s="39"/>
      <c r="Q37" s="42"/>
      <c r="R37" s="39"/>
      <c r="S37" s="42"/>
      <c r="T37" s="39"/>
      <c r="U37" s="42"/>
      <c r="X37"/>
    </row>
    <row r="38" spans="1:24" x14ac:dyDescent="0.25">
      <c r="A38" s="64" t="s">
        <v>54</v>
      </c>
      <c r="B38" s="45">
        <v>43281</v>
      </c>
      <c r="C38" s="44">
        <v>10</v>
      </c>
      <c r="D38" s="46">
        <f t="shared" si="14"/>
        <v>9.5</v>
      </c>
      <c r="E38" s="102">
        <v>154282</v>
      </c>
      <c r="F38" s="110">
        <v>5143</v>
      </c>
      <c r="G38" s="116">
        <f>E38+H38*(C38-D38)</f>
        <v>146567.9</v>
      </c>
      <c r="H38" s="121">
        <f t="shared" si="15"/>
        <v>-15428.2</v>
      </c>
      <c r="I38" s="126">
        <f t="shared" si="16"/>
        <v>20571.2</v>
      </c>
      <c r="J38" s="130">
        <f t="shared" si="17"/>
        <v>133710.79999999999</v>
      </c>
      <c r="K38" s="42"/>
      <c r="L38" s="39"/>
      <c r="M38" s="42"/>
      <c r="N38" s="92"/>
      <c r="O38" s="42"/>
      <c r="P38" s="39"/>
      <c r="Q38" s="42"/>
      <c r="R38" s="39"/>
      <c r="S38" s="42"/>
      <c r="T38" s="39"/>
      <c r="U38" s="42"/>
      <c r="X38"/>
    </row>
    <row r="39" spans="1:24" x14ac:dyDescent="0.25">
      <c r="A39" s="51"/>
      <c r="B39" s="52"/>
      <c r="C39" s="52"/>
      <c r="D39" s="32"/>
      <c r="E39" s="103">
        <f t="shared" ref="E39:J39" si="18">SUM(E32:E38)</f>
        <v>5879912</v>
      </c>
      <c r="F39" s="111">
        <f t="shared" si="18"/>
        <v>622152</v>
      </c>
      <c r="G39" s="117">
        <f t="shared" si="18"/>
        <v>5150292.7750000004</v>
      </c>
      <c r="H39" s="120">
        <f t="shared" si="18"/>
        <v>-283181.65333333332</v>
      </c>
      <c r="I39" s="127">
        <f t="shared" si="18"/>
        <v>905333.65333333332</v>
      </c>
      <c r="J39" s="131">
        <f t="shared" si="18"/>
        <v>4974578.3466666667</v>
      </c>
      <c r="X39"/>
    </row>
    <row r="40" spans="1:24" x14ac:dyDescent="0.25">
      <c r="A40" s="37"/>
      <c r="B40" s="38"/>
      <c r="C40" s="38"/>
      <c r="I40" s="40"/>
      <c r="X40"/>
    </row>
    <row r="41" spans="1:24" x14ac:dyDescent="0.25">
      <c r="A41" s="12"/>
      <c r="B41" s="11"/>
      <c r="C41" s="11"/>
      <c r="I41" s="40"/>
      <c r="X41"/>
    </row>
    <row r="42" spans="1:24" x14ac:dyDescent="0.25">
      <c r="A42" s="54" t="s">
        <v>55</v>
      </c>
      <c r="B42" s="55"/>
      <c r="C42" s="55"/>
      <c r="D42" s="56"/>
      <c r="E42" s="56">
        <f t="shared" ref="E42:J42" si="19">I27+E39</f>
        <v>49863135</v>
      </c>
      <c r="F42" s="57">
        <f t="shared" si="19"/>
        <v>2505325</v>
      </c>
      <c r="G42" s="57">
        <f t="shared" si="19"/>
        <v>47250342.775000013</v>
      </c>
      <c r="H42" s="57">
        <f t="shared" si="19"/>
        <v>-772101.70859592874</v>
      </c>
      <c r="I42" s="58">
        <f t="shared" si="19"/>
        <v>3277426.7085959292</v>
      </c>
      <c r="J42" s="58">
        <f t="shared" si="19"/>
        <v>46585708.291404068</v>
      </c>
      <c r="X42"/>
    </row>
    <row r="46" spans="1:24" x14ac:dyDescent="0.25">
      <c r="H46" s="40"/>
      <c r="I46" s="40"/>
      <c r="V46"/>
      <c r="W46"/>
      <c r="X46"/>
    </row>
    <row r="47" spans="1:24" x14ac:dyDescent="0.25">
      <c r="A47" t="s">
        <v>57</v>
      </c>
      <c r="H47" s="40"/>
      <c r="I47" s="40"/>
      <c r="V47"/>
      <c r="W47"/>
      <c r="X47"/>
    </row>
    <row r="48" spans="1:24" x14ac:dyDescent="0.25">
      <c r="B48" t="s">
        <v>59</v>
      </c>
      <c r="H48" s="40"/>
      <c r="I48" s="40"/>
      <c r="V48"/>
      <c r="W48"/>
      <c r="X48"/>
    </row>
    <row r="49" spans="2:24" x14ac:dyDescent="0.25">
      <c r="B49" t="s">
        <v>56</v>
      </c>
      <c r="H49" s="40"/>
      <c r="I49" s="40"/>
      <c r="V49"/>
      <c r="W49"/>
      <c r="X49"/>
    </row>
    <row r="50" spans="2:24" x14ac:dyDescent="0.25">
      <c r="H50" s="40"/>
      <c r="I50" s="40"/>
      <c r="V50"/>
      <c r="W50"/>
      <c r="X50"/>
    </row>
    <row r="51" spans="2:24" x14ac:dyDescent="0.25">
      <c r="B51" t="s">
        <v>58</v>
      </c>
      <c r="H51" s="40"/>
      <c r="I51" s="40"/>
      <c r="V51"/>
      <c r="W51"/>
      <c r="X51"/>
    </row>
    <row r="52" spans="2:24" x14ac:dyDescent="0.25">
      <c r="H52" s="40"/>
      <c r="I52" s="40"/>
      <c r="V52"/>
      <c r="W52"/>
      <c r="X52"/>
    </row>
    <row r="53" spans="2:24" x14ac:dyDescent="0.25">
      <c r="H53" s="40"/>
      <c r="I53" s="40"/>
      <c r="V53"/>
      <c r="W53"/>
      <c r="X53"/>
    </row>
    <row r="54" spans="2:24" x14ac:dyDescent="0.25">
      <c r="H54" s="40"/>
      <c r="I54" s="40"/>
      <c r="V54"/>
      <c r="W54"/>
      <c r="X54"/>
    </row>
    <row r="55" spans="2:24" x14ac:dyDescent="0.25">
      <c r="H55" s="40"/>
      <c r="I55" s="40"/>
      <c r="V55"/>
      <c r="W55"/>
      <c r="X55"/>
    </row>
    <row r="56" spans="2:24" x14ac:dyDescent="0.25">
      <c r="H56" s="40"/>
      <c r="I56" s="40"/>
      <c r="V56"/>
      <c r="W56"/>
      <c r="X56"/>
    </row>
    <row r="57" spans="2:24" x14ac:dyDescent="0.25">
      <c r="H57" s="40"/>
      <c r="I57" s="40"/>
      <c r="V57"/>
      <c r="W57"/>
      <c r="X57"/>
    </row>
    <row r="58" spans="2:24" x14ac:dyDescent="0.25">
      <c r="H58" s="40"/>
      <c r="I58" s="40"/>
      <c r="V58"/>
      <c r="W58"/>
      <c r="X58"/>
    </row>
    <row r="59" spans="2:24" x14ac:dyDescent="0.25">
      <c r="H59" s="40"/>
      <c r="I59" s="40"/>
      <c r="V59"/>
      <c r="W59"/>
      <c r="X59"/>
    </row>
    <row r="60" spans="2:24" x14ac:dyDescent="0.25">
      <c r="H60" s="40"/>
      <c r="I60" s="40"/>
      <c r="V60"/>
      <c r="W60"/>
      <c r="X60"/>
    </row>
  </sheetData>
  <mergeCells count="4">
    <mergeCell ref="B5:C5"/>
    <mergeCell ref="B6:C6"/>
    <mergeCell ref="B7:C7"/>
    <mergeCell ref="B8:C8"/>
  </mergeCells>
  <pageMargins left="0.7" right="0.7" top="0.75" bottom="0.75" header="0.3" footer="0.3"/>
  <pageSetup paperSize="9" scale="68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D82"/>
  <sheetViews>
    <sheetView showGridLines="0" tabSelected="1" topLeftCell="A34" zoomScale="90" zoomScaleNormal="90" workbookViewId="0">
      <selection activeCell="D48" sqref="D48"/>
    </sheetView>
  </sheetViews>
  <sheetFormatPr defaultRowHeight="15" x14ac:dyDescent="0.25"/>
  <cols>
    <col min="1" max="1" width="10.5703125" customWidth="1"/>
    <col min="2" max="2" width="48.42578125" customWidth="1"/>
    <col min="3" max="3" width="12.28515625" customWidth="1"/>
    <col min="4" max="4" width="11.5703125" bestFit="1" customWidth="1"/>
    <col min="5" max="5" width="14.5703125" customWidth="1"/>
    <col min="6" max="6" width="11.28515625" style="3" customWidth="1"/>
    <col min="7" max="7" width="15.7109375" style="3" customWidth="1"/>
    <col min="8" max="8" width="7.140625" style="3" customWidth="1"/>
    <col min="9" max="9" width="13.5703125" customWidth="1"/>
    <col min="10" max="10" width="14.5703125" bestFit="1" customWidth="1"/>
    <col min="11" max="11" width="13.5703125" bestFit="1" customWidth="1"/>
    <col min="12" max="12" width="16.140625" customWidth="1"/>
    <col min="13" max="13" width="15.85546875" style="40" customWidth="1"/>
    <col min="14" max="14" width="15" style="40" customWidth="1"/>
    <col min="15" max="15" width="15.140625" style="40" customWidth="1"/>
    <col min="16" max="16" width="15.42578125" style="40" customWidth="1"/>
    <col min="17" max="17" width="14.85546875" style="95" customWidth="1"/>
    <col min="18" max="18" width="15" style="40" bestFit="1" customWidth="1"/>
    <col min="19" max="19" width="13.28515625" style="40" bestFit="1" customWidth="1"/>
    <col min="20" max="20" width="12.42578125" style="40" customWidth="1"/>
    <col min="21" max="21" width="13.28515625" style="40" bestFit="1" customWidth="1"/>
    <col min="22" max="22" width="12.42578125" style="40" customWidth="1"/>
    <col min="23" max="23" width="15.5703125" style="40" customWidth="1"/>
    <col min="24" max="24" width="12.140625" style="40" customWidth="1"/>
    <col min="25" max="25" width="14.28515625" style="40" customWidth="1"/>
    <col min="26" max="27" width="9.140625" style="40"/>
  </cols>
  <sheetData>
    <row r="1" spans="1:30" x14ac:dyDescent="0.25">
      <c r="B1" s="1" t="s">
        <v>44</v>
      </c>
    </row>
    <row r="2" spans="1:30" x14ac:dyDescent="0.25">
      <c r="B2" s="40" t="s">
        <v>103</v>
      </c>
      <c r="G2"/>
      <c r="H2"/>
      <c r="I2" s="40"/>
      <c r="J2" s="40"/>
      <c r="K2" s="40"/>
      <c r="L2" s="40"/>
      <c r="X2"/>
      <c r="Y2"/>
      <c r="Z2"/>
      <c r="AA2"/>
    </row>
    <row r="3" spans="1:30" x14ac:dyDescent="0.25">
      <c r="B3" s="40" t="s">
        <v>154</v>
      </c>
      <c r="C3" s="14"/>
      <c r="D3" s="14"/>
      <c r="E3" s="14"/>
      <c r="G3"/>
      <c r="H3"/>
      <c r="I3" s="40"/>
      <c r="J3" s="40"/>
      <c r="K3" s="40"/>
      <c r="L3" s="40"/>
      <c r="X3"/>
      <c r="Y3"/>
      <c r="Z3"/>
      <c r="AA3"/>
    </row>
    <row r="4" spans="1:30" x14ac:dyDescent="0.25">
      <c r="C4" s="14"/>
      <c r="D4" s="14"/>
      <c r="E4" s="14"/>
      <c r="F4" s="16"/>
      <c r="G4" t="s">
        <v>149</v>
      </c>
      <c r="H4"/>
      <c r="I4" s="40"/>
      <c r="J4" s="40"/>
      <c r="K4" s="40"/>
      <c r="L4" s="40"/>
      <c r="X4"/>
      <c r="Y4"/>
      <c r="Z4"/>
      <c r="AA4"/>
    </row>
    <row r="5" spans="1:30" x14ac:dyDescent="0.25">
      <c r="B5" s="285" t="s">
        <v>20</v>
      </c>
      <c r="C5" s="286">
        <f>43983223</f>
        <v>43983223</v>
      </c>
      <c r="D5" s="286"/>
      <c r="E5" s="286"/>
      <c r="F5" s="16"/>
      <c r="G5"/>
      <c r="H5"/>
      <c r="J5" s="40"/>
      <c r="K5" s="40"/>
      <c r="L5" s="40"/>
      <c r="Y5"/>
      <c r="Z5"/>
      <c r="AA5"/>
    </row>
    <row r="6" spans="1:30" x14ac:dyDescent="0.25">
      <c r="B6" s="285" t="s">
        <v>21</v>
      </c>
      <c r="C6" s="286">
        <f>1883173</f>
        <v>1883173</v>
      </c>
      <c r="D6" s="286"/>
      <c r="E6" s="286"/>
      <c r="F6" s="16"/>
      <c r="I6" s="8"/>
      <c r="J6" s="8"/>
    </row>
    <row r="7" spans="1:30" x14ac:dyDescent="0.25">
      <c r="B7" s="285" t="s">
        <v>75</v>
      </c>
      <c r="C7" s="287">
        <v>2018</v>
      </c>
      <c r="D7" s="287"/>
      <c r="E7" s="287"/>
    </row>
    <row r="8" spans="1:30" x14ac:dyDescent="0.25">
      <c r="B8" s="285" t="s">
        <v>37</v>
      </c>
      <c r="C8" s="288">
        <v>43465</v>
      </c>
      <c r="D8" s="288"/>
      <c r="E8" s="288"/>
    </row>
    <row r="9" spans="1:30" ht="15.75" thickBot="1" x14ac:dyDescent="0.3">
      <c r="I9" s="3"/>
      <c r="M9"/>
      <c r="Q9" s="40"/>
      <c r="R9" s="95"/>
      <c r="AB9" s="40"/>
    </row>
    <row r="10" spans="1:30" ht="60" x14ac:dyDescent="0.25">
      <c r="A10" s="306" t="s">
        <v>160</v>
      </c>
      <c r="B10" s="89" t="s">
        <v>24</v>
      </c>
      <c r="C10" s="134" t="s">
        <v>71</v>
      </c>
      <c r="D10" s="134" t="s">
        <v>150</v>
      </c>
      <c r="E10" s="134" t="s">
        <v>91</v>
      </c>
      <c r="F10" s="134" t="s">
        <v>89</v>
      </c>
      <c r="G10" s="193" t="s">
        <v>107</v>
      </c>
      <c r="H10" s="281" t="s">
        <v>151</v>
      </c>
      <c r="I10" s="134" t="s">
        <v>78</v>
      </c>
      <c r="J10" s="134" t="s">
        <v>79</v>
      </c>
      <c r="K10" s="134" t="s">
        <v>80</v>
      </c>
      <c r="L10" s="104" t="s">
        <v>26</v>
      </c>
      <c r="M10" s="107" t="s">
        <v>27</v>
      </c>
      <c r="N10" s="112" t="s">
        <v>43</v>
      </c>
      <c r="O10" s="275" t="s">
        <v>148</v>
      </c>
      <c r="P10" s="122" t="s">
        <v>46</v>
      </c>
      <c r="Q10" s="128" t="s">
        <v>47</v>
      </c>
      <c r="R10" s="96" t="s">
        <v>87</v>
      </c>
      <c r="S10" s="96" t="s">
        <v>92</v>
      </c>
      <c r="T10" s="96" t="s">
        <v>94</v>
      </c>
      <c r="U10" s="39"/>
      <c r="V10" s="41"/>
      <c r="W10" s="39"/>
      <c r="X10" s="41"/>
      <c r="Y10" s="39"/>
      <c r="Z10" s="41"/>
      <c r="AA10" s="39"/>
      <c r="AB10" s="41"/>
      <c r="AC10" s="40"/>
      <c r="AD10" s="40"/>
    </row>
    <row r="11" spans="1:30" x14ac:dyDescent="0.25">
      <c r="A11" s="69">
        <v>1110</v>
      </c>
      <c r="B11" s="63" t="s">
        <v>1</v>
      </c>
      <c r="C11" s="135">
        <v>1937</v>
      </c>
      <c r="D11" s="135">
        <v>2001</v>
      </c>
      <c r="E11" s="136">
        <v>0.3</v>
      </c>
      <c r="F11" s="135">
        <v>200</v>
      </c>
      <c r="G11" s="194">
        <f>IF(F11-(2001-C11)&lt;0,0,F11-(2001-C11))</f>
        <v>136</v>
      </c>
      <c r="H11" s="282">
        <v>16</v>
      </c>
      <c r="I11" s="135">
        <f>F11-H11</f>
        <v>184</v>
      </c>
      <c r="J11" s="137">
        <f t="shared" ref="J11:J26" si="0">I11/SUM($I$11:$I$26)*E11</f>
        <v>7.9653679653679657E-2</v>
      </c>
      <c r="K11" s="138">
        <f t="shared" ref="K11:K26" si="1">J11/$J$27</f>
        <v>0.58320126782884296</v>
      </c>
      <c r="L11" s="105">
        <f>$C$5*K11</f>
        <v>25651071.416798726</v>
      </c>
      <c r="M11" s="108">
        <f>K11*$C$6</f>
        <v>1098268.8811410456</v>
      </c>
      <c r="N11" s="113">
        <f>L11-M11</f>
        <v>24552802.535657682</v>
      </c>
      <c r="O11" s="277">
        <f>IFERROR(L11/F11,0)</f>
        <v>128255.35708399363</v>
      </c>
      <c r="P11" s="123">
        <f>M11+O11</f>
        <v>1226524.2382250393</v>
      </c>
      <c r="Q11" s="129">
        <f>L11-P11</f>
        <v>24424547.178573687</v>
      </c>
      <c r="R11" s="94">
        <f t="shared" ref="R11:R26" si="2">O11*F11*-1</f>
        <v>-25651071.416798726</v>
      </c>
      <c r="S11" s="144">
        <f t="shared" ref="S11:S25" si="3">ROUND(E11/$E$27,3)</f>
        <v>0.314</v>
      </c>
      <c r="T11" s="144">
        <v>0.3</v>
      </c>
      <c r="U11" s="43"/>
      <c r="V11" s="143"/>
      <c r="W11" s="43"/>
      <c r="X11" s="42"/>
      <c r="Y11" s="43"/>
      <c r="Z11" s="42"/>
      <c r="AA11" s="43"/>
      <c r="AB11" s="42"/>
      <c r="AC11" s="40"/>
      <c r="AD11" s="40"/>
    </row>
    <row r="12" spans="1:30" x14ac:dyDescent="0.25">
      <c r="A12" s="69">
        <v>1110</v>
      </c>
      <c r="B12" s="63" t="s">
        <v>2</v>
      </c>
      <c r="C12" s="135">
        <v>1937</v>
      </c>
      <c r="D12" s="135">
        <v>2001</v>
      </c>
      <c r="E12" s="136">
        <v>0.19</v>
      </c>
      <c r="F12" s="135">
        <v>150</v>
      </c>
      <c r="G12" s="194">
        <f t="shared" ref="G12:G26" si="4">IF(F12-(2001-C12)&lt;0,0,F12-(2001-C12))</f>
        <v>86</v>
      </c>
      <c r="H12" s="282">
        <v>16</v>
      </c>
      <c r="I12" s="135">
        <f t="shared" ref="I12:I26" si="5">F12-H12</f>
        <v>134</v>
      </c>
      <c r="J12" s="137">
        <f t="shared" si="0"/>
        <v>3.6738816738816744E-2</v>
      </c>
      <c r="K12" s="138">
        <f t="shared" si="1"/>
        <v>0.26899101954569465</v>
      </c>
      <c r="L12" s="105">
        <f t="shared" ref="L12:L25" si="6">$C$5*K12</f>
        <v>11831091.997675646</v>
      </c>
      <c r="M12" s="108">
        <f>K12*$C$6</f>
        <v>506556.62525092444</v>
      </c>
      <c r="N12" s="113">
        <f t="shared" ref="N12:N26" si="7">L12-M12</f>
        <v>11324535.372424722</v>
      </c>
      <c r="O12" s="277">
        <f>IFERROR(L12/F12,0)</f>
        <v>78873.946651170976</v>
      </c>
      <c r="P12" s="123">
        <f t="shared" ref="P12:P26" si="8">M12+O12</f>
        <v>585430.57190209546</v>
      </c>
      <c r="Q12" s="129">
        <f t="shared" ref="Q12:Q26" si="9">L12-P12</f>
        <v>11245661.42577355</v>
      </c>
      <c r="R12" s="94">
        <f t="shared" si="2"/>
        <v>-11831091.997675646</v>
      </c>
      <c r="S12" s="144">
        <f t="shared" si="3"/>
        <v>0.19900000000000001</v>
      </c>
      <c r="T12" s="144">
        <v>0.19</v>
      </c>
      <c r="U12" s="43"/>
      <c r="V12" s="143"/>
      <c r="W12" s="43"/>
      <c r="X12" s="42"/>
      <c r="Y12" s="43"/>
      <c r="Z12" s="42"/>
      <c r="AA12" s="43"/>
      <c r="AB12" s="42"/>
      <c r="AC12" s="40"/>
      <c r="AD12" s="40"/>
    </row>
    <row r="13" spans="1:30" x14ac:dyDescent="0.25">
      <c r="A13" s="69">
        <v>1110</v>
      </c>
      <c r="B13" s="63" t="s">
        <v>81</v>
      </c>
      <c r="C13" s="135">
        <v>1992</v>
      </c>
      <c r="D13" s="135">
        <v>2001</v>
      </c>
      <c r="E13" s="136">
        <v>0.02</v>
      </c>
      <c r="F13" s="135">
        <v>50</v>
      </c>
      <c r="G13" s="194">
        <f t="shared" si="4"/>
        <v>41</v>
      </c>
      <c r="H13" s="282">
        <v>16</v>
      </c>
      <c r="I13" s="135">
        <f t="shared" si="5"/>
        <v>34</v>
      </c>
      <c r="J13" s="137">
        <f t="shared" si="0"/>
        <v>9.8124098124098124E-4</v>
      </c>
      <c r="K13" s="138">
        <f t="shared" si="1"/>
        <v>7.1843634442683556E-3</v>
      </c>
      <c r="L13" s="105">
        <f t="shared" si="6"/>
        <v>315991.45948230318</v>
      </c>
      <c r="M13" s="108">
        <f>K13*$C$6</f>
        <v>13529.399260433172</v>
      </c>
      <c r="N13" s="113">
        <f t="shared" si="7"/>
        <v>302462.06022187002</v>
      </c>
      <c r="O13" s="277">
        <f>IFERROR(L13/F13,0)</f>
        <v>6319.8291896460632</v>
      </c>
      <c r="P13" s="123">
        <f t="shared" si="8"/>
        <v>19849.228450079238</v>
      </c>
      <c r="Q13" s="129">
        <f t="shared" si="9"/>
        <v>296142.23103222396</v>
      </c>
      <c r="R13" s="94">
        <f t="shared" si="2"/>
        <v>-315991.45948230318</v>
      </c>
      <c r="S13" s="144">
        <f t="shared" si="3"/>
        <v>2.1000000000000001E-2</v>
      </c>
      <c r="T13" s="144">
        <v>0.12</v>
      </c>
      <c r="U13" s="43"/>
      <c r="V13" s="143"/>
      <c r="W13" s="43"/>
      <c r="X13" s="42"/>
      <c r="Y13" s="43"/>
      <c r="Z13" s="42"/>
      <c r="AA13" s="43"/>
      <c r="AB13" s="42"/>
      <c r="AC13" s="40"/>
      <c r="AD13" s="40"/>
    </row>
    <row r="14" spans="1:30" x14ac:dyDescent="0.25">
      <c r="A14" s="69">
        <v>1110</v>
      </c>
      <c r="B14" s="64" t="s">
        <v>73</v>
      </c>
      <c r="C14" s="135">
        <v>1935</v>
      </c>
      <c r="D14" s="135">
        <v>2001</v>
      </c>
      <c r="E14" s="136">
        <v>0.03</v>
      </c>
      <c r="F14" s="135">
        <v>60</v>
      </c>
      <c r="G14" s="194">
        <f t="shared" si="4"/>
        <v>0</v>
      </c>
      <c r="H14" s="282">
        <v>16</v>
      </c>
      <c r="I14" s="135">
        <f t="shared" si="5"/>
        <v>44</v>
      </c>
      <c r="J14" s="137">
        <f t="shared" si="0"/>
        <v>1.9047619047619045E-3</v>
      </c>
      <c r="K14" s="138">
        <f t="shared" si="1"/>
        <v>1.3946117274167983E-2</v>
      </c>
      <c r="L14" s="105">
        <f t="shared" si="6"/>
        <v>613395.18605388247</v>
      </c>
      <c r="M14" s="108">
        <f t="shared" ref="M14:M26" si="10">K14*$C$6</f>
        <v>26262.951505546742</v>
      </c>
      <c r="N14" s="113">
        <f t="shared" si="7"/>
        <v>587132.23454833578</v>
      </c>
      <c r="O14" s="277">
        <f>IFERROR(L14/F14,0)</f>
        <v>10223.25310089804</v>
      </c>
      <c r="P14" s="123">
        <f t="shared" si="8"/>
        <v>36486.204606444779</v>
      </c>
      <c r="Q14" s="129">
        <f t="shared" si="9"/>
        <v>576908.98144743766</v>
      </c>
      <c r="R14" s="94">
        <f t="shared" si="2"/>
        <v>-613395.18605388247</v>
      </c>
      <c r="S14" s="144">
        <f t="shared" si="3"/>
        <v>3.1E-2</v>
      </c>
      <c r="T14" s="144"/>
      <c r="U14" s="43"/>
      <c r="V14" s="143"/>
      <c r="W14" s="43"/>
      <c r="X14" s="42"/>
      <c r="Y14" s="43"/>
      <c r="Z14" s="42"/>
      <c r="AA14" s="43"/>
      <c r="AB14" s="42"/>
      <c r="AC14" s="40"/>
      <c r="AD14" s="40"/>
    </row>
    <row r="15" spans="1:30" x14ac:dyDescent="0.25">
      <c r="A15" s="69">
        <v>1110</v>
      </c>
      <c r="B15" s="64" t="s">
        <v>74</v>
      </c>
      <c r="C15" s="135">
        <v>1992</v>
      </c>
      <c r="D15" s="135">
        <v>2001</v>
      </c>
      <c r="E15" s="136">
        <v>0.03</v>
      </c>
      <c r="F15" s="135">
        <v>50</v>
      </c>
      <c r="G15" s="194">
        <f t="shared" si="4"/>
        <v>41</v>
      </c>
      <c r="H15" s="282">
        <v>16</v>
      </c>
      <c r="I15" s="135">
        <f t="shared" si="5"/>
        <v>34</v>
      </c>
      <c r="J15" s="137">
        <f t="shared" si="0"/>
        <v>1.4718614718614719E-3</v>
      </c>
      <c r="K15" s="138">
        <f t="shared" si="1"/>
        <v>1.0776545166402534E-2</v>
      </c>
      <c r="L15" s="105">
        <f t="shared" si="6"/>
        <v>473987.1892234548</v>
      </c>
      <c r="M15" s="108">
        <f>K15*$C$6</f>
        <v>20294.098890649759</v>
      </c>
      <c r="N15" s="113">
        <f t="shared" si="7"/>
        <v>453693.09033280506</v>
      </c>
      <c r="O15" s="277">
        <f>IFERROR(L15/F15,0)</f>
        <v>9479.7437844690958</v>
      </c>
      <c r="P15" s="123">
        <f t="shared" si="8"/>
        <v>29773.842675118853</v>
      </c>
      <c r="Q15" s="129">
        <f t="shared" si="9"/>
        <v>444213.34654833598</v>
      </c>
      <c r="R15" s="94">
        <f t="shared" si="2"/>
        <v>-473987.1892234548</v>
      </c>
      <c r="S15" s="144">
        <f t="shared" si="3"/>
        <v>3.1E-2</v>
      </c>
      <c r="T15" s="144"/>
      <c r="U15" s="43"/>
      <c r="V15" s="143"/>
      <c r="W15" s="43"/>
      <c r="X15" s="42"/>
      <c r="Y15" s="43"/>
      <c r="Z15" s="42"/>
      <c r="AA15" s="43"/>
      <c r="AB15" s="42"/>
      <c r="AC15" s="40"/>
      <c r="AD15" s="40"/>
    </row>
    <row r="16" spans="1:30" x14ac:dyDescent="0.25">
      <c r="A16" s="69">
        <v>1110</v>
      </c>
      <c r="B16" s="64" t="s">
        <v>82</v>
      </c>
      <c r="C16" s="135">
        <v>1992</v>
      </c>
      <c r="D16" s="135">
        <v>2001</v>
      </c>
      <c r="E16" s="136">
        <v>0.03</v>
      </c>
      <c r="F16" s="135">
        <v>40</v>
      </c>
      <c r="G16" s="194">
        <f t="shared" si="4"/>
        <v>31</v>
      </c>
      <c r="H16" s="282">
        <v>16</v>
      </c>
      <c r="I16" s="135">
        <f t="shared" si="5"/>
        <v>24</v>
      </c>
      <c r="J16" s="137">
        <f t="shared" si="0"/>
        <v>1.038961038961039E-3</v>
      </c>
      <c r="K16" s="138">
        <f t="shared" si="1"/>
        <v>7.6069730586370825E-3</v>
      </c>
      <c r="L16" s="105">
        <f t="shared" si="6"/>
        <v>334579.1923930269</v>
      </c>
      <c r="M16" s="108">
        <f t="shared" si="10"/>
        <v>14325.24627575277</v>
      </c>
      <c r="N16" s="113">
        <f t="shared" si="7"/>
        <v>320253.94611727411</v>
      </c>
      <c r="O16" s="277">
        <f>IFERROR(L16/F16,0)</f>
        <v>8364.4798098256724</v>
      </c>
      <c r="P16" s="123">
        <f t="shared" si="8"/>
        <v>22689.726085578441</v>
      </c>
      <c r="Q16" s="129">
        <f t="shared" si="9"/>
        <v>311889.46630744846</v>
      </c>
      <c r="R16" s="94">
        <f t="shared" si="2"/>
        <v>-334579.1923930269</v>
      </c>
      <c r="S16" s="144">
        <f t="shared" si="3"/>
        <v>3.1E-2</v>
      </c>
      <c r="T16" s="144"/>
      <c r="U16" s="43"/>
      <c r="V16" s="143"/>
      <c r="W16" s="43"/>
      <c r="X16" s="42"/>
      <c r="Y16" s="43"/>
      <c r="Z16" s="42"/>
      <c r="AA16" s="43"/>
      <c r="AB16" s="42"/>
      <c r="AC16" s="40"/>
      <c r="AD16" s="40"/>
    </row>
    <row r="17" spans="1:30" x14ac:dyDescent="0.25">
      <c r="A17" s="69">
        <v>1110</v>
      </c>
      <c r="B17" s="63" t="s">
        <v>4</v>
      </c>
      <c r="C17" s="135">
        <v>1992</v>
      </c>
      <c r="D17" s="135">
        <v>2001</v>
      </c>
      <c r="E17" s="192">
        <v>0.06</v>
      </c>
      <c r="F17" s="135">
        <v>40</v>
      </c>
      <c r="G17" s="194">
        <f t="shared" si="4"/>
        <v>31</v>
      </c>
      <c r="H17" s="282">
        <v>16</v>
      </c>
      <c r="I17" s="135">
        <f t="shared" si="5"/>
        <v>24</v>
      </c>
      <c r="J17" s="137">
        <f t="shared" si="0"/>
        <v>2.0779220779220779E-3</v>
      </c>
      <c r="K17" s="138">
        <f t="shared" si="1"/>
        <v>1.5213946117274165E-2</v>
      </c>
      <c r="L17" s="105">
        <f t="shared" si="6"/>
        <v>669158.38478605379</v>
      </c>
      <c r="M17" s="108">
        <f t="shared" si="10"/>
        <v>28650.49255150554</v>
      </c>
      <c r="N17" s="113">
        <f t="shared" si="7"/>
        <v>640507.89223454823</v>
      </c>
      <c r="O17" s="277">
        <f>IFERROR(L17/F17,0)</f>
        <v>16728.959619651345</v>
      </c>
      <c r="P17" s="123">
        <f t="shared" si="8"/>
        <v>45379.452171156881</v>
      </c>
      <c r="Q17" s="129">
        <f t="shared" si="9"/>
        <v>623778.93261489691</v>
      </c>
      <c r="R17" s="94">
        <f t="shared" si="2"/>
        <v>-669158.38478605379</v>
      </c>
      <c r="S17" s="144">
        <f t="shared" si="3"/>
        <v>6.3E-2</v>
      </c>
      <c r="T17" s="144">
        <v>0.08</v>
      </c>
      <c r="U17" s="43"/>
      <c r="V17" s="143"/>
      <c r="W17" s="43"/>
      <c r="X17" s="42"/>
      <c r="Y17" s="43"/>
      <c r="Z17" s="42"/>
      <c r="AA17" s="43"/>
      <c r="AB17" s="42"/>
      <c r="AC17" s="40"/>
      <c r="AD17" s="40"/>
    </row>
    <row r="18" spans="1:30" x14ac:dyDescent="0.25">
      <c r="A18" s="69">
        <v>1110</v>
      </c>
      <c r="B18" s="63" t="s">
        <v>5</v>
      </c>
      <c r="C18" s="135">
        <v>1992</v>
      </c>
      <c r="D18" s="135">
        <v>2001</v>
      </c>
      <c r="E18" s="136">
        <v>0</v>
      </c>
      <c r="F18" s="135">
        <v>25</v>
      </c>
      <c r="G18" s="194">
        <f t="shared" si="4"/>
        <v>16</v>
      </c>
      <c r="H18" s="282">
        <v>16</v>
      </c>
      <c r="I18" s="135">
        <f t="shared" si="5"/>
        <v>9</v>
      </c>
      <c r="J18" s="137">
        <f t="shared" si="0"/>
        <v>0</v>
      </c>
      <c r="K18" s="138">
        <f t="shared" si="1"/>
        <v>0</v>
      </c>
      <c r="L18" s="105">
        <f t="shared" si="6"/>
        <v>0</v>
      </c>
      <c r="M18" s="108">
        <f t="shared" si="10"/>
        <v>0</v>
      </c>
      <c r="N18" s="113">
        <f t="shared" si="7"/>
        <v>0</v>
      </c>
      <c r="O18" s="277">
        <f>IFERROR(L18/F18,0)</f>
        <v>0</v>
      </c>
      <c r="P18" s="123">
        <f t="shared" si="8"/>
        <v>0</v>
      </c>
      <c r="Q18" s="129">
        <f t="shared" si="9"/>
        <v>0</v>
      </c>
      <c r="R18" s="94">
        <f t="shared" si="2"/>
        <v>0</v>
      </c>
      <c r="S18" s="144">
        <f t="shared" si="3"/>
        <v>0</v>
      </c>
      <c r="T18" s="144">
        <v>0</v>
      </c>
      <c r="U18" s="43"/>
      <c r="V18" s="143"/>
      <c r="W18" s="43"/>
      <c r="X18" s="42"/>
      <c r="Y18" s="43"/>
      <c r="Z18" s="42"/>
      <c r="AA18" s="43"/>
      <c r="AB18" s="42"/>
      <c r="AC18" s="40"/>
      <c r="AD18" s="40"/>
    </row>
    <row r="19" spans="1:30" x14ac:dyDescent="0.25">
      <c r="A19" s="69">
        <v>1110</v>
      </c>
      <c r="B19" s="63" t="s">
        <v>6</v>
      </c>
      <c r="C19" s="135">
        <v>1992</v>
      </c>
      <c r="D19" s="135">
        <v>2001</v>
      </c>
      <c r="E19" s="136">
        <v>0.05</v>
      </c>
      <c r="F19" s="135">
        <v>50</v>
      </c>
      <c r="G19" s="194">
        <f t="shared" si="4"/>
        <v>41</v>
      </c>
      <c r="H19" s="282">
        <v>16</v>
      </c>
      <c r="I19" s="135">
        <f t="shared" si="5"/>
        <v>34</v>
      </c>
      <c r="J19" s="137">
        <f t="shared" si="0"/>
        <v>2.4531024531024535E-3</v>
      </c>
      <c r="K19" s="138">
        <f t="shared" si="1"/>
        <v>1.7960908610670893E-2</v>
      </c>
      <c r="L19" s="105">
        <f t="shared" si="6"/>
        <v>789978.64870575804</v>
      </c>
      <c r="M19" s="108">
        <f t="shared" si="10"/>
        <v>33823.498151082938</v>
      </c>
      <c r="N19" s="113">
        <f t="shared" si="7"/>
        <v>756155.15055467514</v>
      </c>
      <c r="O19" s="277">
        <f>IFERROR(L19/F19,0)</f>
        <v>15799.572974115161</v>
      </c>
      <c r="P19" s="123">
        <f t="shared" si="8"/>
        <v>49623.071125198097</v>
      </c>
      <c r="Q19" s="129">
        <f t="shared" si="9"/>
        <v>740355.57758056</v>
      </c>
      <c r="R19" s="94">
        <f t="shared" si="2"/>
        <v>-789978.64870575804</v>
      </c>
      <c r="S19" s="144">
        <f t="shared" si="3"/>
        <v>5.1999999999999998E-2</v>
      </c>
      <c r="T19" s="144">
        <v>0.05</v>
      </c>
      <c r="U19" s="43"/>
      <c r="V19" s="143"/>
      <c r="W19" s="43"/>
      <c r="X19" s="42"/>
      <c r="Y19" s="43"/>
      <c r="Z19" s="42"/>
      <c r="AA19" s="43"/>
      <c r="AB19" s="42"/>
      <c r="AC19" s="40"/>
      <c r="AD19" s="40"/>
    </row>
    <row r="20" spans="1:30" x14ac:dyDescent="0.25">
      <c r="A20" s="69">
        <v>1110</v>
      </c>
      <c r="B20" s="63" t="s">
        <v>7</v>
      </c>
      <c r="C20" s="135">
        <v>1992</v>
      </c>
      <c r="D20" s="135">
        <v>2001</v>
      </c>
      <c r="E20" s="136">
        <v>0.03</v>
      </c>
      <c r="F20" s="135">
        <v>50</v>
      </c>
      <c r="G20" s="194">
        <f t="shared" si="4"/>
        <v>41</v>
      </c>
      <c r="H20" s="282">
        <v>16</v>
      </c>
      <c r="I20" s="135">
        <f t="shared" si="5"/>
        <v>34</v>
      </c>
      <c r="J20" s="137">
        <f t="shared" si="0"/>
        <v>1.4718614718614719E-3</v>
      </c>
      <c r="K20" s="138">
        <f t="shared" si="1"/>
        <v>1.0776545166402534E-2</v>
      </c>
      <c r="L20" s="105">
        <f t="shared" si="6"/>
        <v>473987.1892234548</v>
      </c>
      <c r="M20" s="108">
        <f t="shared" si="10"/>
        <v>20294.098890649759</v>
      </c>
      <c r="N20" s="113">
        <f t="shared" si="7"/>
        <v>453693.09033280506</v>
      </c>
      <c r="O20" s="277">
        <f>IFERROR(L20/F20,0)</f>
        <v>9479.7437844690958</v>
      </c>
      <c r="P20" s="123">
        <f t="shared" si="8"/>
        <v>29773.842675118853</v>
      </c>
      <c r="Q20" s="129">
        <f t="shared" si="9"/>
        <v>444213.34654833598</v>
      </c>
      <c r="R20" s="94">
        <f t="shared" si="2"/>
        <v>-473987.1892234548</v>
      </c>
      <c r="S20" s="144">
        <f t="shared" si="3"/>
        <v>3.1E-2</v>
      </c>
      <c r="T20" s="144">
        <v>0.03</v>
      </c>
      <c r="U20" s="43"/>
      <c r="V20" s="143"/>
      <c r="W20" s="43"/>
      <c r="X20" s="42"/>
      <c r="Y20" s="43"/>
      <c r="Z20" s="42"/>
      <c r="AA20" s="43"/>
      <c r="AB20" s="42"/>
      <c r="AC20" s="40"/>
      <c r="AD20" s="40"/>
    </row>
    <row r="21" spans="1:30" x14ac:dyDescent="0.25">
      <c r="A21" s="69">
        <v>1110</v>
      </c>
      <c r="B21" s="63" t="s">
        <v>8</v>
      </c>
      <c r="C21" s="135">
        <v>1992</v>
      </c>
      <c r="D21" s="135">
        <v>2001</v>
      </c>
      <c r="E21" s="136">
        <v>0.03</v>
      </c>
      <c r="F21" s="135">
        <v>30</v>
      </c>
      <c r="G21" s="194">
        <f t="shared" si="4"/>
        <v>21</v>
      </c>
      <c r="H21" s="282">
        <v>16</v>
      </c>
      <c r="I21" s="135">
        <f t="shared" si="5"/>
        <v>14</v>
      </c>
      <c r="J21" s="137">
        <f t="shared" si="0"/>
        <v>6.0606060606060606E-4</v>
      </c>
      <c r="K21" s="138">
        <f t="shared" si="1"/>
        <v>4.4374009508716316E-3</v>
      </c>
      <c r="L21" s="105">
        <f t="shared" si="6"/>
        <v>195171.19556259902</v>
      </c>
      <c r="M21" s="108">
        <f t="shared" si="10"/>
        <v>8356.3936608557833</v>
      </c>
      <c r="N21" s="113">
        <f t="shared" si="7"/>
        <v>186814.80190174325</v>
      </c>
      <c r="O21" s="277">
        <f>IFERROR(L21/F21,0)</f>
        <v>6505.7065187533008</v>
      </c>
      <c r="P21" s="123">
        <f t="shared" si="8"/>
        <v>14862.100179609084</v>
      </c>
      <c r="Q21" s="129">
        <f t="shared" si="9"/>
        <v>180309.09538298994</v>
      </c>
      <c r="R21" s="94">
        <f t="shared" si="2"/>
        <v>-195171.19556259902</v>
      </c>
      <c r="S21" s="144">
        <f t="shared" si="3"/>
        <v>3.1E-2</v>
      </c>
      <c r="T21" s="144">
        <v>0.03</v>
      </c>
      <c r="U21" s="43"/>
      <c r="V21" s="143"/>
      <c r="W21" s="43"/>
      <c r="X21" s="42"/>
      <c r="Y21" s="43"/>
      <c r="Z21" s="42"/>
      <c r="AA21" s="43"/>
      <c r="AB21" s="42"/>
      <c r="AC21" s="40"/>
      <c r="AD21" s="40"/>
    </row>
    <row r="22" spans="1:30" s="14" customFormat="1" x14ac:dyDescent="0.25">
      <c r="A22" s="69">
        <v>1110</v>
      </c>
      <c r="B22" s="63" t="s">
        <v>9</v>
      </c>
      <c r="C22" s="135">
        <v>2005</v>
      </c>
      <c r="D22" s="135">
        <v>2005</v>
      </c>
      <c r="E22" s="136">
        <v>0.02</v>
      </c>
      <c r="F22" s="135">
        <v>40</v>
      </c>
      <c r="G22" s="194">
        <f t="shared" si="4"/>
        <v>44</v>
      </c>
      <c r="H22" s="282">
        <v>12</v>
      </c>
      <c r="I22" s="135">
        <f t="shared" si="5"/>
        <v>28</v>
      </c>
      <c r="J22" s="137">
        <f t="shared" si="0"/>
        <v>8.0808080808080819E-4</v>
      </c>
      <c r="K22" s="138">
        <f t="shared" si="1"/>
        <v>5.9165346011621758E-3</v>
      </c>
      <c r="L22" s="105">
        <f t="shared" si="6"/>
        <v>260228.26075013203</v>
      </c>
      <c r="M22" s="108">
        <f t="shared" si="10"/>
        <v>11141.858214474378</v>
      </c>
      <c r="N22" s="113">
        <f t="shared" si="7"/>
        <v>249086.40253565766</v>
      </c>
      <c r="O22" s="277">
        <f>IFERROR(L22/F22,0)</f>
        <v>6505.7065187533008</v>
      </c>
      <c r="P22" s="123">
        <f t="shared" si="8"/>
        <v>17647.564733227679</v>
      </c>
      <c r="Q22" s="129">
        <f t="shared" si="9"/>
        <v>242580.69601690435</v>
      </c>
      <c r="R22" s="94">
        <f t="shared" si="2"/>
        <v>-260228.26075013203</v>
      </c>
      <c r="S22" s="144">
        <f t="shared" si="3"/>
        <v>2.1000000000000001E-2</v>
      </c>
      <c r="T22" s="144">
        <v>0.02</v>
      </c>
      <c r="U22" s="43"/>
      <c r="V22" s="143"/>
      <c r="W22" s="43"/>
      <c r="X22" s="42"/>
      <c r="Y22" s="43"/>
      <c r="Z22" s="42"/>
      <c r="AA22" s="43"/>
      <c r="AB22" s="42"/>
      <c r="AC22" s="40"/>
      <c r="AD22" s="40"/>
    </row>
    <row r="23" spans="1:30" x14ac:dyDescent="0.25">
      <c r="A23" s="69">
        <v>1110</v>
      </c>
      <c r="B23" s="66" t="s">
        <v>10</v>
      </c>
      <c r="C23" s="135">
        <v>1992</v>
      </c>
      <c r="D23" s="135">
        <v>2001</v>
      </c>
      <c r="E23" s="192">
        <v>5.0000000000000001E-3</v>
      </c>
      <c r="F23" s="135">
        <v>50</v>
      </c>
      <c r="G23" s="194">
        <f t="shared" si="4"/>
        <v>41</v>
      </c>
      <c r="H23" s="282">
        <v>16</v>
      </c>
      <c r="I23" s="135">
        <f t="shared" si="5"/>
        <v>34</v>
      </c>
      <c r="J23" s="137">
        <f t="shared" si="0"/>
        <v>2.4531024531024531E-4</v>
      </c>
      <c r="K23" s="138">
        <f t="shared" si="1"/>
        <v>1.7960908610670889E-3</v>
      </c>
      <c r="L23" s="105">
        <f t="shared" si="6"/>
        <v>78997.864870575795</v>
      </c>
      <c r="M23" s="108">
        <f t="shared" si="10"/>
        <v>3382.3498151082931</v>
      </c>
      <c r="N23" s="113">
        <f t="shared" si="7"/>
        <v>75615.515055467506</v>
      </c>
      <c r="O23" s="277">
        <f>IFERROR(L23/F23,0)</f>
        <v>1579.9572974115158</v>
      </c>
      <c r="P23" s="123">
        <f t="shared" si="8"/>
        <v>4962.3071125198094</v>
      </c>
      <c r="Q23" s="129">
        <f t="shared" si="9"/>
        <v>74035.557758055991</v>
      </c>
      <c r="R23" s="94">
        <f t="shared" si="2"/>
        <v>-78997.864870575795</v>
      </c>
      <c r="S23" s="144">
        <f t="shared" si="3"/>
        <v>5.0000000000000001E-3</v>
      </c>
      <c r="T23" s="144">
        <v>0.02</v>
      </c>
      <c r="U23" s="43"/>
      <c r="V23" s="143"/>
      <c r="W23" s="43"/>
      <c r="X23" s="42"/>
      <c r="Y23" s="43"/>
      <c r="Z23" s="42"/>
      <c r="AA23" s="43"/>
      <c r="AB23" s="42"/>
      <c r="AC23" s="40"/>
      <c r="AD23" s="40"/>
    </row>
    <row r="24" spans="1:30" x14ac:dyDescent="0.25">
      <c r="A24" s="69">
        <v>1110</v>
      </c>
      <c r="B24" s="63" t="s">
        <v>11</v>
      </c>
      <c r="C24" s="135">
        <v>1992</v>
      </c>
      <c r="D24" s="135">
        <v>2001</v>
      </c>
      <c r="E24" s="136">
        <v>0.02</v>
      </c>
      <c r="F24" s="135">
        <v>40</v>
      </c>
      <c r="G24" s="194">
        <f t="shared" si="4"/>
        <v>31</v>
      </c>
      <c r="H24" s="282">
        <v>16</v>
      </c>
      <c r="I24" s="135">
        <f t="shared" si="5"/>
        <v>24</v>
      </c>
      <c r="J24" s="137">
        <f t="shared" si="0"/>
        <v>6.9264069264069264E-4</v>
      </c>
      <c r="K24" s="138">
        <f t="shared" si="1"/>
        <v>5.071315372424722E-3</v>
      </c>
      <c r="L24" s="105">
        <f>$C$5*K24</f>
        <v>223052.7949286846</v>
      </c>
      <c r="M24" s="108">
        <f t="shared" si="10"/>
        <v>9550.1641838351807</v>
      </c>
      <c r="N24" s="113">
        <f t="shared" si="7"/>
        <v>213502.63074484942</v>
      </c>
      <c r="O24" s="277">
        <f>IFERROR(L24/F24,0)</f>
        <v>5576.3198732171149</v>
      </c>
      <c r="P24" s="123">
        <f t="shared" si="8"/>
        <v>15126.484057052296</v>
      </c>
      <c r="Q24" s="129">
        <f t="shared" si="9"/>
        <v>207926.3108716323</v>
      </c>
      <c r="R24" s="94">
        <f t="shared" si="2"/>
        <v>-223052.7949286846</v>
      </c>
      <c r="S24" s="144">
        <f t="shared" si="3"/>
        <v>2.1000000000000001E-2</v>
      </c>
      <c r="T24" s="144">
        <v>0.02</v>
      </c>
      <c r="U24" s="43"/>
      <c r="V24" s="143"/>
      <c r="W24" s="43"/>
      <c r="X24" s="42"/>
      <c r="Y24" s="43"/>
      <c r="Z24" s="42"/>
      <c r="AA24" s="43"/>
      <c r="AB24" s="42"/>
      <c r="AC24" s="40"/>
      <c r="AD24" s="40"/>
    </row>
    <row r="25" spans="1:30" x14ac:dyDescent="0.25">
      <c r="A25" s="69">
        <v>1110</v>
      </c>
      <c r="B25" s="63" t="s">
        <v>12</v>
      </c>
      <c r="C25" s="135">
        <v>1992</v>
      </c>
      <c r="D25" s="135">
        <v>2001</v>
      </c>
      <c r="E25" s="136">
        <v>0.01</v>
      </c>
      <c r="F25" s="135">
        <v>20</v>
      </c>
      <c r="G25" s="194">
        <f t="shared" si="4"/>
        <v>11</v>
      </c>
      <c r="H25" s="282">
        <v>16</v>
      </c>
      <c r="I25" s="135">
        <f t="shared" si="5"/>
        <v>4</v>
      </c>
      <c r="J25" s="137">
        <f t="shared" si="0"/>
        <v>5.772005772005772E-5</v>
      </c>
      <c r="K25" s="138">
        <f t="shared" si="1"/>
        <v>4.226096143687268E-4</v>
      </c>
      <c r="L25" s="105">
        <f t="shared" si="6"/>
        <v>18587.732910723716</v>
      </c>
      <c r="M25" s="108">
        <f t="shared" si="10"/>
        <v>795.84701531959831</v>
      </c>
      <c r="N25" s="113">
        <f t="shared" si="7"/>
        <v>17791.885895404117</v>
      </c>
      <c r="O25" s="277">
        <f>IFERROR(L25/F25,0)</f>
        <v>929.38664553618582</v>
      </c>
      <c r="P25" s="123">
        <f t="shared" si="8"/>
        <v>1725.2336608557841</v>
      </c>
      <c r="Q25" s="129">
        <f t="shared" si="9"/>
        <v>16862.499249867931</v>
      </c>
      <c r="R25" s="94">
        <f t="shared" si="2"/>
        <v>-18587.732910723716</v>
      </c>
      <c r="S25" s="144">
        <f t="shared" si="3"/>
        <v>0.01</v>
      </c>
      <c r="T25" s="144">
        <v>0.01</v>
      </c>
      <c r="U25" s="43"/>
      <c r="V25" s="143"/>
      <c r="W25" s="43"/>
      <c r="X25" s="42"/>
      <c r="Y25" s="43"/>
      <c r="Z25" s="42"/>
      <c r="AA25" s="43"/>
      <c r="AB25" s="42"/>
      <c r="AC25" s="40"/>
      <c r="AD25" s="40"/>
    </row>
    <row r="26" spans="1:30" x14ac:dyDescent="0.25">
      <c r="A26" s="69">
        <v>1110</v>
      </c>
      <c r="B26" s="67" t="s">
        <v>13</v>
      </c>
      <c r="C26" s="139">
        <v>1992</v>
      </c>
      <c r="D26" s="135">
        <v>2001</v>
      </c>
      <c r="E26" s="140">
        <v>0.13</v>
      </c>
      <c r="F26" s="139">
        <v>50</v>
      </c>
      <c r="G26" s="194">
        <f t="shared" si="4"/>
        <v>41</v>
      </c>
      <c r="H26" s="282">
        <v>16</v>
      </c>
      <c r="I26" s="135">
        <f t="shared" si="5"/>
        <v>34</v>
      </c>
      <c r="J26" s="141">
        <f t="shared" si="0"/>
        <v>6.3780663780663785E-3</v>
      </c>
      <c r="K26" s="142">
        <f t="shared" si="1"/>
        <v>4.6698362387744316E-2</v>
      </c>
      <c r="L26" s="106">
        <f>$C$5*K26-840000</f>
        <v>1213944.4866349706</v>
      </c>
      <c r="M26" s="109">
        <f>K26*$C$6-35176</f>
        <v>52765.095192815628</v>
      </c>
      <c r="N26" s="114">
        <f t="shared" si="7"/>
        <v>1161179.391442155</v>
      </c>
      <c r="O26" s="277">
        <f>IFERROR(L26/F26,0)</f>
        <v>24278.889732699412</v>
      </c>
      <c r="P26" s="123">
        <f t="shared" si="8"/>
        <v>77043.984925515048</v>
      </c>
      <c r="Q26" s="129">
        <f t="shared" si="9"/>
        <v>1136900.5017094556</v>
      </c>
      <c r="R26" s="94">
        <f t="shared" si="2"/>
        <v>-1213944.4866349706</v>
      </c>
      <c r="S26" s="144">
        <f>1-SUM(S11:S25)</f>
        <v>0.13899999999999968</v>
      </c>
      <c r="T26" s="144">
        <v>0.13</v>
      </c>
      <c r="U26" s="43"/>
      <c r="V26" s="143"/>
      <c r="W26" s="43"/>
      <c r="X26" s="42"/>
      <c r="Y26" s="43"/>
      <c r="Z26" s="42"/>
      <c r="AA26" s="43"/>
      <c r="AB26" s="42"/>
      <c r="AC26" s="40"/>
      <c r="AD26" s="40"/>
    </row>
    <row r="27" spans="1:30" ht="15.75" thickBot="1" x14ac:dyDescent="0.3">
      <c r="A27" s="69">
        <v>1110</v>
      </c>
      <c r="B27" s="80" t="s">
        <v>83</v>
      </c>
      <c r="C27" s="179" t="s">
        <v>72</v>
      </c>
      <c r="D27" s="279"/>
      <c r="E27" s="180">
        <f>SUM(E11:E26)</f>
        <v>0.95500000000000029</v>
      </c>
      <c r="F27" s="181" t="s">
        <v>72</v>
      </c>
      <c r="G27" s="195">
        <f t="shared" ref="G27:T27" si="11">SUM(G11:G26)</f>
        <v>653</v>
      </c>
      <c r="H27" s="195"/>
      <c r="I27" s="283">
        <f t="shared" si="11"/>
        <v>693</v>
      </c>
      <c r="J27" s="183">
        <f t="shared" si="11"/>
        <v>0.13658008658008661</v>
      </c>
      <c r="K27" s="180">
        <f t="shared" si="11"/>
        <v>0.99999999999999967</v>
      </c>
      <c r="L27" s="105">
        <f>SUM(L11:L26)</f>
        <v>43143222.999999985</v>
      </c>
      <c r="M27" s="108">
        <f>SUM(M11:M26)</f>
        <v>1847996.9999999998</v>
      </c>
      <c r="N27" s="115">
        <f t="shared" si="11"/>
        <v>41295226</v>
      </c>
      <c r="O27" s="278">
        <f>SUM(O11:O26)</f>
        <v>328900.85258460994</v>
      </c>
      <c r="P27" s="284">
        <f t="shared" si="11"/>
        <v>2176897.8525846102</v>
      </c>
      <c r="Q27" s="131">
        <f>SUM(Q11:Q26)</f>
        <v>40966325.147415377</v>
      </c>
      <c r="R27" s="97">
        <f t="shared" si="11"/>
        <v>-43143222.999999985</v>
      </c>
      <c r="S27" s="145">
        <f t="shared" si="11"/>
        <v>1</v>
      </c>
      <c r="T27" s="145">
        <f t="shared" si="11"/>
        <v>1</v>
      </c>
      <c r="U27" s="42"/>
      <c r="V27" s="43"/>
      <c r="W27" s="42"/>
      <c r="X27" s="43"/>
      <c r="Y27" s="42"/>
      <c r="Z27" s="43"/>
      <c r="AA27" s="42"/>
      <c r="AB27" s="43"/>
      <c r="AC27" s="40"/>
      <c r="AD27" s="40"/>
    </row>
    <row r="28" spans="1:30" x14ac:dyDescent="0.25">
      <c r="B28" s="80" t="s">
        <v>84</v>
      </c>
      <c r="C28" s="184">
        <f t="shared" ref="C28:K28" si="12">AVERAGE(C11:C26)</f>
        <v>1982.375</v>
      </c>
      <c r="D28" s="184"/>
      <c r="E28" s="185">
        <f t="shared" si="12"/>
        <v>5.9687500000000018E-2</v>
      </c>
      <c r="F28" s="186">
        <f t="shared" si="12"/>
        <v>59.0625</v>
      </c>
      <c r="G28" s="196">
        <f t="shared" si="12"/>
        <v>40.8125</v>
      </c>
      <c r="H28" s="196"/>
      <c r="I28" s="186">
        <f t="shared" si="12"/>
        <v>43.3125</v>
      </c>
      <c r="J28" s="187">
        <f t="shared" si="12"/>
        <v>8.5362554112554129E-3</v>
      </c>
      <c r="K28" s="185">
        <f t="shared" si="12"/>
        <v>6.2499999999999979E-2</v>
      </c>
      <c r="L28" s="16"/>
      <c r="M28" s="16"/>
      <c r="N28" s="16"/>
      <c r="O28" s="11"/>
      <c r="P28" s="43"/>
      <c r="Q28" s="42"/>
      <c r="R28" s="93"/>
      <c r="S28" s="143"/>
      <c r="T28" s="43"/>
      <c r="U28" s="42"/>
      <c r="V28" s="43"/>
      <c r="W28" s="42"/>
      <c r="X28" s="43"/>
      <c r="Y28" s="42"/>
      <c r="Z28" s="43"/>
      <c r="AA28" s="42"/>
      <c r="AB28" s="43"/>
      <c r="AC28" s="40"/>
      <c r="AD28" s="40"/>
    </row>
    <row r="29" spans="1:30" ht="15.75" x14ac:dyDescent="0.25">
      <c r="B29" s="197" t="s">
        <v>85</v>
      </c>
      <c r="C29" s="198">
        <f>SUMPRODUCT(C11:C26,E11:E26)/SUM(E11:E26)</f>
        <v>1962.2617801047115</v>
      </c>
      <c r="D29" s="198"/>
      <c r="E29" s="205">
        <f>SUMPRODUCT(E11:E26,F11:F26)/SUM(F11:F26)</f>
        <v>0.11624338624338625</v>
      </c>
      <c r="F29" s="198">
        <f>SUMPRODUCT(F11:F26,E11:E26)/SUM(E11:E26)</f>
        <v>115.02617801047118</v>
      </c>
      <c r="G29" s="199">
        <f>SUMPRODUCT(G11:G26,E11:E26)/SUM(E11:E26)</f>
        <v>76.476439790575895</v>
      </c>
      <c r="H29" s="199"/>
      <c r="I29" s="198">
        <f>SUMPRODUCT(I11:I26,E11:E26)/SUM(E11:E26)</f>
        <v>99.109947643979027</v>
      </c>
      <c r="J29" s="189">
        <f>G29-I29</f>
        <v>-22.633507853403131</v>
      </c>
      <c r="K29" s="189"/>
      <c r="L29" s="90"/>
      <c r="M29" s="16"/>
      <c r="N29" s="16"/>
      <c r="O29" s="11"/>
      <c r="P29" s="43"/>
      <c r="Q29" s="42"/>
      <c r="R29" s="93"/>
      <c r="S29" s="42"/>
      <c r="T29" s="43"/>
      <c r="U29" s="42"/>
      <c r="V29" s="43"/>
      <c r="W29" s="42"/>
      <c r="X29" s="43"/>
      <c r="Y29" s="42"/>
      <c r="Z29" s="43"/>
      <c r="AA29" s="42"/>
      <c r="AB29" s="43"/>
      <c r="AC29" s="40"/>
      <c r="AD29" s="40"/>
    </row>
    <row r="30" spans="1:30" ht="15.75" thickBot="1" x14ac:dyDescent="0.3">
      <c r="F30" s="16"/>
      <c r="G30" s="16"/>
      <c r="H30" s="16"/>
      <c r="I30" s="14"/>
      <c r="J30" s="14"/>
      <c r="K30" s="14"/>
      <c r="L30" s="14"/>
    </row>
    <row r="31" spans="1:30" ht="30" x14ac:dyDescent="0.25">
      <c r="A31" s="307" t="s">
        <v>160</v>
      </c>
      <c r="B31" s="132" t="s">
        <v>76</v>
      </c>
      <c r="C31" s="91" t="s">
        <v>71</v>
      </c>
      <c r="D31" s="91"/>
      <c r="E31" s="91" t="s">
        <v>77</v>
      </c>
      <c r="F31" s="91" t="s">
        <v>78</v>
      </c>
      <c r="G31" s="104" t="s">
        <v>26</v>
      </c>
      <c r="H31" s="104"/>
      <c r="I31" s="107" t="s">
        <v>27</v>
      </c>
      <c r="J31" s="133" t="s">
        <v>43</v>
      </c>
      <c r="K31" s="275" t="s">
        <v>147</v>
      </c>
      <c r="L31" s="122" t="s">
        <v>46</v>
      </c>
      <c r="M31" s="128" t="s">
        <v>146</v>
      </c>
      <c r="AA31"/>
    </row>
    <row r="32" spans="1:30" x14ac:dyDescent="0.25">
      <c r="A32" s="69">
        <v>1120</v>
      </c>
      <c r="B32" s="44" t="s">
        <v>137</v>
      </c>
      <c r="C32" s="45">
        <v>37210</v>
      </c>
      <c r="D32" s="45"/>
      <c r="E32" s="44">
        <v>100</v>
      </c>
      <c r="F32" s="46">
        <f>IF(E32-ROUND(($C$8-C32)/365,2)&lt;0,0,E32-ROUND(($C$8-C32)/365,2))</f>
        <v>82.86</v>
      </c>
      <c r="G32" s="102">
        <v>545250</v>
      </c>
      <c r="H32" s="102"/>
      <c r="I32" s="110">
        <v>46877</v>
      </c>
      <c r="J32" s="116">
        <f>G32-I32</f>
        <v>498373</v>
      </c>
      <c r="K32" s="276">
        <f>G32/E32</f>
        <v>5452.5</v>
      </c>
      <c r="L32" s="126">
        <f>I32+K32</f>
        <v>52329.5</v>
      </c>
      <c r="M32" s="130">
        <f>G32-L32</f>
        <v>492920.5</v>
      </c>
      <c r="N32" s="42" t="s">
        <v>136</v>
      </c>
      <c r="O32" s="39"/>
      <c r="P32" s="42"/>
      <c r="Q32" s="92"/>
      <c r="R32" s="42"/>
      <c r="S32" s="39"/>
      <c r="T32" s="42"/>
      <c r="U32" s="39"/>
      <c r="V32" s="42"/>
      <c r="W32" s="39"/>
      <c r="X32" s="42"/>
      <c r="AA32"/>
    </row>
    <row r="33" spans="1:27" x14ac:dyDescent="0.25">
      <c r="A33" s="69">
        <v>1131</v>
      </c>
      <c r="B33" s="44" t="s">
        <v>138</v>
      </c>
      <c r="C33" s="45">
        <v>37210</v>
      </c>
      <c r="D33" s="45"/>
      <c r="E33" s="44">
        <v>100</v>
      </c>
      <c r="F33" s="46">
        <f t="shared" ref="F33:F35" si="13">IF(E33-ROUND(($C$8-C33)/365,2)&lt;0,0,E33-ROUND(($C$8-C33)/365,2))</f>
        <v>82.86</v>
      </c>
      <c r="G33" s="102">
        <v>570545</v>
      </c>
      <c r="H33" s="102"/>
      <c r="I33" s="110">
        <v>55474</v>
      </c>
      <c r="J33" s="116">
        <f t="shared" ref="J33:J38" si="14">G33-I33</f>
        <v>515071</v>
      </c>
      <c r="K33" s="276">
        <f t="shared" ref="K33:K38" si="15">G33/E33</f>
        <v>5705.45</v>
      </c>
      <c r="L33" s="126">
        <f t="shared" ref="L33:L38" si="16">I33+K33</f>
        <v>61179.45</v>
      </c>
      <c r="M33" s="130">
        <f t="shared" ref="M33:M35" si="17">G33-L33</f>
        <v>509365.55</v>
      </c>
      <c r="N33" s="42" t="s">
        <v>136</v>
      </c>
      <c r="O33" s="39"/>
      <c r="P33" s="42"/>
      <c r="Q33" s="92"/>
      <c r="R33" s="42"/>
      <c r="S33" s="39"/>
      <c r="T33" s="42"/>
      <c r="U33" s="39"/>
      <c r="V33" s="42"/>
      <c r="W33" s="39"/>
      <c r="X33" s="42"/>
      <c r="AA33"/>
    </row>
    <row r="34" spans="1:27" x14ac:dyDescent="0.25">
      <c r="A34" s="69">
        <v>1150</v>
      </c>
      <c r="B34" s="44" t="s">
        <v>48</v>
      </c>
      <c r="C34" s="45">
        <v>42278</v>
      </c>
      <c r="D34" s="45"/>
      <c r="E34" s="44">
        <v>15</v>
      </c>
      <c r="F34" s="46">
        <f t="shared" si="13"/>
        <v>11.75</v>
      </c>
      <c r="G34" s="102">
        <v>648475</v>
      </c>
      <c r="H34" s="102"/>
      <c r="I34" s="110">
        <v>81192</v>
      </c>
      <c r="J34" s="116">
        <f t="shared" si="14"/>
        <v>567283</v>
      </c>
      <c r="K34" s="276">
        <f t="shared" si="15"/>
        <v>43231.666666666664</v>
      </c>
      <c r="L34" s="126">
        <f t="shared" si="16"/>
        <v>124423.66666666666</v>
      </c>
      <c r="M34" s="130">
        <f t="shared" si="17"/>
        <v>524051.33333333337</v>
      </c>
      <c r="N34" s="42"/>
      <c r="O34" s="39"/>
      <c r="P34" s="42"/>
      <c r="Q34" s="92"/>
      <c r="R34" s="42"/>
      <c r="S34" s="39"/>
      <c r="T34" s="42"/>
      <c r="U34" s="39"/>
      <c r="V34" s="42"/>
      <c r="W34" s="39"/>
      <c r="X34" s="42"/>
      <c r="AA34"/>
    </row>
    <row r="35" spans="1:27" s="14" customFormat="1" x14ac:dyDescent="0.25">
      <c r="A35" s="71">
        <v>1114</v>
      </c>
      <c r="B35" s="59" t="s">
        <v>51</v>
      </c>
      <c r="C35" s="60">
        <v>38353</v>
      </c>
      <c r="D35" s="60"/>
      <c r="E35" s="59">
        <v>25</v>
      </c>
      <c r="F35" s="61">
        <f t="shared" si="13"/>
        <v>10.99</v>
      </c>
      <c r="G35" s="102">
        <v>1245359</v>
      </c>
      <c r="H35" s="102"/>
      <c r="I35" s="110">
        <v>379911</v>
      </c>
      <c r="J35" s="116">
        <f t="shared" si="14"/>
        <v>865448</v>
      </c>
      <c r="K35" s="276">
        <f t="shared" si="15"/>
        <v>49814.36</v>
      </c>
      <c r="L35" s="126">
        <f t="shared" si="16"/>
        <v>429725.36</v>
      </c>
      <c r="M35" s="130">
        <f t="shared" si="17"/>
        <v>815633.64</v>
      </c>
      <c r="N35" s="42" t="s">
        <v>139</v>
      </c>
      <c r="O35" s="39"/>
      <c r="P35" s="42"/>
      <c r="Q35" s="92"/>
      <c r="R35" s="42"/>
      <c r="S35" s="39"/>
      <c r="T35" s="42"/>
      <c r="U35" s="39"/>
      <c r="V35" s="42"/>
      <c r="W35" s="39"/>
      <c r="X35" s="42"/>
      <c r="Y35" s="40"/>
      <c r="Z35" s="40"/>
    </row>
    <row r="36" spans="1:27" x14ac:dyDescent="0.25">
      <c r="A36" s="71">
        <v>1112</v>
      </c>
      <c r="B36" s="44" t="s">
        <v>73</v>
      </c>
      <c r="C36" s="45">
        <v>43009</v>
      </c>
      <c r="D36" s="45"/>
      <c r="E36" s="44">
        <v>50</v>
      </c>
      <c r="F36" s="46">
        <f>IF(E36-ROUND(($C$8-C36)/365,2)&lt;0,0,E36-ROUND(($C$8-C36)/365,2))</f>
        <v>48.75</v>
      </c>
      <c r="G36" s="102">
        <v>2621293</v>
      </c>
      <c r="H36" s="102"/>
      <c r="I36" s="110">
        <v>17475</v>
      </c>
      <c r="J36" s="116">
        <f t="shared" si="14"/>
        <v>2603818</v>
      </c>
      <c r="K36" s="276">
        <f t="shared" si="15"/>
        <v>52425.86</v>
      </c>
      <c r="L36" s="126">
        <f t="shared" si="16"/>
        <v>69900.86</v>
      </c>
      <c r="M36" s="130">
        <f>G36-L36</f>
        <v>2551392.14</v>
      </c>
      <c r="N36" s="42" t="s">
        <v>143</v>
      </c>
      <c r="O36" s="39"/>
      <c r="P36" s="42"/>
      <c r="Q36" s="92"/>
      <c r="R36" s="42"/>
      <c r="S36" s="39"/>
      <c r="T36" s="42"/>
      <c r="U36" s="39"/>
      <c r="V36" s="42"/>
      <c r="W36" s="39"/>
      <c r="X36" s="42"/>
      <c r="AA36"/>
    </row>
    <row r="37" spans="1:27" x14ac:dyDescent="0.25">
      <c r="A37" s="71">
        <v>1112</v>
      </c>
      <c r="B37" s="44" t="s">
        <v>54</v>
      </c>
      <c r="C37" s="45">
        <v>42979</v>
      </c>
      <c r="D37" s="45"/>
      <c r="E37" s="44">
        <v>10</v>
      </c>
      <c r="F37" s="46">
        <f>IF(E37-ROUND(($C$8-C37)/365,2)&lt;0,0,E37-ROUND(($C$8-C37)/365,2))</f>
        <v>8.67</v>
      </c>
      <c r="G37" s="102">
        <v>154282</v>
      </c>
      <c r="H37" s="102"/>
      <c r="I37" s="110">
        <v>5143</v>
      </c>
      <c r="J37" s="116">
        <f t="shared" si="14"/>
        <v>149139</v>
      </c>
      <c r="K37" s="276">
        <f t="shared" si="15"/>
        <v>15428.2</v>
      </c>
      <c r="L37" s="126">
        <f t="shared" si="16"/>
        <v>20571.2</v>
      </c>
      <c r="M37" s="130">
        <f>G37-L37</f>
        <v>133710.79999999999</v>
      </c>
      <c r="N37" s="42" t="s">
        <v>143</v>
      </c>
      <c r="O37" s="39"/>
      <c r="P37" s="42"/>
      <c r="Q37" s="92"/>
      <c r="R37" s="42"/>
      <c r="S37" s="39"/>
      <c r="T37" s="42"/>
      <c r="U37" s="39"/>
      <c r="V37" s="42"/>
      <c r="W37" s="39"/>
      <c r="X37" s="42"/>
      <c r="AA37"/>
    </row>
    <row r="38" spans="1:27" x14ac:dyDescent="0.25">
      <c r="A38" s="71">
        <v>1113</v>
      </c>
      <c r="B38" s="44" t="s">
        <v>145</v>
      </c>
      <c r="C38" s="45">
        <v>37210</v>
      </c>
      <c r="D38" s="45"/>
      <c r="E38" s="44">
        <v>100</v>
      </c>
      <c r="F38" s="46">
        <f>IF(E38-ROUND(($C$8-C38)/365,2)&lt;0,0,E38-ROUND(($C$8-C38)/365,2))</f>
        <v>82.86</v>
      </c>
      <c r="G38" s="102">
        <v>840000</v>
      </c>
      <c r="H38" s="102"/>
      <c r="I38" s="110">
        <v>35176</v>
      </c>
      <c r="J38" s="116">
        <f t="shared" si="14"/>
        <v>804824</v>
      </c>
      <c r="K38" s="276">
        <f t="shared" si="15"/>
        <v>8400</v>
      </c>
      <c r="L38" s="126">
        <f t="shared" si="16"/>
        <v>43576</v>
      </c>
      <c r="M38" s="130">
        <f>G38-L38</f>
        <v>796424</v>
      </c>
      <c r="N38" s="42" t="s">
        <v>139</v>
      </c>
      <c r="O38" s="39"/>
      <c r="P38" s="42"/>
      <c r="Q38" s="92"/>
      <c r="R38" s="42"/>
      <c r="S38" s="39"/>
      <c r="T38" s="42"/>
      <c r="U38" s="39"/>
      <c r="V38" s="42"/>
      <c r="W38" s="39"/>
      <c r="X38" s="42"/>
      <c r="AA38"/>
    </row>
    <row r="39" spans="1:27" ht="15.75" x14ac:dyDescent="0.25">
      <c r="A39" s="298" t="s">
        <v>160</v>
      </c>
      <c r="B39" s="308" t="s">
        <v>144</v>
      </c>
      <c r="C39" s="299"/>
      <c r="D39" s="299"/>
      <c r="E39" s="300"/>
      <c r="F39" s="301"/>
      <c r="G39" s="302"/>
      <c r="H39" s="302"/>
      <c r="I39" s="302"/>
      <c r="J39" s="302"/>
      <c r="K39" s="303"/>
      <c r="L39" s="302"/>
      <c r="M39" s="302"/>
      <c r="N39" s="42"/>
      <c r="O39" s="39"/>
      <c r="P39" s="42"/>
      <c r="Q39" s="92"/>
      <c r="R39" s="42"/>
      <c r="S39" s="39"/>
      <c r="T39" s="42"/>
      <c r="U39" s="39"/>
      <c r="V39" s="42"/>
      <c r="W39" s="39"/>
      <c r="X39" s="42"/>
      <c r="AA39"/>
    </row>
    <row r="40" spans="1:27" x14ac:dyDescent="0.25">
      <c r="A40" s="297">
        <v>1180</v>
      </c>
      <c r="B40" s="274" t="s">
        <v>155</v>
      </c>
      <c r="C40" s="304"/>
      <c r="D40" s="269"/>
      <c r="E40" s="269"/>
      <c r="F40" s="269"/>
      <c r="G40" s="305"/>
      <c r="H40" s="305"/>
      <c r="I40" s="292" t="s">
        <v>159</v>
      </c>
      <c r="J40" s="293"/>
      <c r="K40" s="294"/>
      <c r="L40" s="295"/>
      <c r="M40" s="296">
        <f>G40-K40</f>
        <v>0</v>
      </c>
      <c r="N40" s="42"/>
      <c r="O40" s="39"/>
      <c r="P40" s="42"/>
      <c r="Q40" s="92"/>
      <c r="R40" s="42"/>
      <c r="S40" s="39"/>
      <c r="T40" s="42"/>
      <c r="U40" s="39"/>
      <c r="V40" s="42"/>
      <c r="W40" s="39"/>
      <c r="X40" s="42"/>
      <c r="AA40"/>
    </row>
    <row r="41" spans="1:27" x14ac:dyDescent="0.25">
      <c r="A41" s="14"/>
      <c r="B41" s="44" t="s">
        <v>161</v>
      </c>
      <c r="C41" s="21">
        <v>43433</v>
      </c>
      <c r="F41"/>
      <c r="G41" s="309">
        <v>55687.5</v>
      </c>
      <c r="H41" s="309"/>
      <c r="I41" s="110"/>
      <c r="J41" s="116"/>
      <c r="K41" s="276"/>
      <c r="L41" s="126"/>
      <c r="M41" s="130"/>
      <c r="N41" s="42"/>
      <c r="O41" s="39"/>
      <c r="P41" s="42"/>
      <c r="Q41" s="92"/>
      <c r="R41" s="42"/>
      <c r="S41" s="39"/>
      <c r="T41" s="42"/>
      <c r="U41" s="39"/>
      <c r="V41" s="42"/>
      <c r="W41" s="39"/>
      <c r="X41" s="42"/>
      <c r="AA41"/>
    </row>
    <row r="42" spans="1:27" x14ac:dyDescent="0.25">
      <c r="A42" s="14"/>
      <c r="B42" s="44" t="s">
        <v>162</v>
      </c>
      <c r="C42" s="21">
        <v>43446</v>
      </c>
      <c r="F42"/>
      <c r="G42" s="309">
        <v>60987.19</v>
      </c>
      <c r="H42" s="309"/>
      <c r="I42" s="110"/>
      <c r="J42" s="116"/>
      <c r="K42" s="276"/>
      <c r="L42" s="126"/>
      <c r="M42" s="130"/>
      <c r="N42" s="42"/>
      <c r="O42" s="39"/>
      <c r="P42" s="42"/>
      <c r="Q42" s="92"/>
      <c r="R42" s="42"/>
      <c r="S42" s="39"/>
      <c r="T42" s="42"/>
      <c r="U42" s="39"/>
      <c r="V42" s="42"/>
      <c r="W42" s="39"/>
      <c r="X42" s="42"/>
      <c r="AA42"/>
    </row>
    <row r="43" spans="1:27" x14ac:dyDescent="0.25">
      <c r="A43" s="297">
        <v>1181</v>
      </c>
      <c r="B43" s="274" t="s">
        <v>156</v>
      </c>
      <c r="C43" s="270"/>
      <c r="D43" s="270"/>
      <c r="E43" s="271"/>
      <c r="F43" s="272"/>
      <c r="G43" s="273"/>
      <c r="H43" s="273"/>
      <c r="I43" s="292" t="s">
        <v>159</v>
      </c>
      <c r="J43" s="293"/>
      <c r="K43" s="294"/>
      <c r="L43" s="295"/>
      <c r="M43" s="296">
        <f t="shared" ref="M43:M56" si="18">G43-K43</f>
        <v>0</v>
      </c>
      <c r="N43" s="42"/>
      <c r="O43" s="39"/>
      <c r="P43" s="42"/>
      <c r="Q43" s="92"/>
      <c r="R43" s="42"/>
      <c r="S43" s="39"/>
      <c r="T43" s="42"/>
      <c r="U43" s="39"/>
      <c r="V43" s="42"/>
      <c r="W43" s="39"/>
      <c r="X43" s="42"/>
      <c r="AA43"/>
    </row>
    <row r="44" spans="1:27" x14ac:dyDescent="0.25">
      <c r="A44" s="14"/>
      <c r="B44" s="44" t="s">
        <v>163</v>
      </c>
      <c r="C44" s="45">
        <v>43284</v>
      </c>
      <c r="D44" s="45"/>
      <c r="E44" s="44"/>
      <c r="F44" s="46"/>
      <c r="G44" s="105">
        <v>229101.08</v>
      </c>
      <c r="H44" s="105"/>
      <c r="I44" s="110"/>
      <c r="J44" s="116"/>
      <c r="K44" s="276"/>
      <c r="L44" s="126"/>
      <c r="M44" s="130"/>
      <c r="N44" s="42"/>
      <c r="O44" s="39"/>
      <c r="P44" s="42"/>
      <c r="Q44" s="92"/>
      <c r="R44" s="42"/>
      <c r="S44" s="39"/>
      <c r="T44" s="42"/>
      <c r="U44" s="39"/>
      <c r="V44" s="42"/>
      <c r="W44" s="39"/>
      <c r="X44" s="42"/>
      <c r="AA44"/>
    </row>
    <row r="45" spans="1:27" x14ac:dyDescent="0.25">
      <c r="A45" s="14"/>
      <c r="B45" s="44" t="s">
        <v>164</v>
      </c>
      <c r="C45" s="45">
        <v>43371</v>
      </c>
      <c r="D45" s="45"/>
      <c r="E45" s="44"/>
      <c r="F45" s="46"/>
      <c r="G45" s="105">
        <v>118125</v>
      </c>
      <c r="H45" s="105"/>
      <c r="I45" s="110"/>
      <c r="J45" s="116"/>
      <c r="K45" s="276"/>
      <c r="L45" s="126"/>
      <c r="M45" s="130"/>
      <c r="N45" s="42"/>
      <c r="O45" s="39"/>
      <c r="P45" s="42"/>
      <c r="Q45" s="92"/>
      <c r="R45" s="42"/>
      <c r="S45" s="39"/>
      <c r="T45" s="42"/>
      <c r="U45" s="39"/>
      <c r="V45" s="42"/>
      <c r="W45" s="39"/>
      <c r="X45" s="42"/>
      <c r="AA45"/>
    </row>
    <row r="46" spans="1:27" x14ac:dyDescent="0.25">
      <c r="A46" s="14"/>
      <c r="B46" s="44" t="s">
        <v>165</v>
      </c>
      <c r="C46" s="45">
        <v>43413</v>
      </c>
      <c r="D46" s="45"/>
      <c r="E46" s="44"/>
      <c r="F46" s="46"/>
      <c r="G46" s="105">
        <v>30875</v>
      </c>
      <c r="H46" s="105"/>
      <c r="I46" s="110"/>
      <c r="J46" s="116"/>
      <c r="K46" s="276"/>
      <c r="L46" s="126"/>
      <c r="M46" s="130"/>
      <c r="N46" s="42"/>
      <c r="O46" s="39"/>
      <c r="P46" s="42"/>
      <c r="Q46" s="92"/>
      <c r="R46" s="42"/>
      <c r="S46" s="39"/>
      <c r="T46" s="42"/>
      <c r="U46" s="39"/>
      <c r="V46" s="42"/>
      <c r="W46" s="39"/>
      <c r="X46" s="42"/>
      <c r="AA46"/>
    </row>
    <row r="47" spans="1:27" x14ac:dyDescent="0.25">
      <c r="A47" s="14"/>
      <c r="B47" s="44" t="s">
        <v>166</v>
      </c>
      <c r="C47" s="45">
        <v>43328</v>
      </c>
      <c r="D47" s="45"/>
      <c r="E47" s="44"/>
      <c r="F47" s="46"/>
      <c r="G47" s="105">
        <v>407137.5</v>
      </c>
      <c r="H47" s="105"/>
      <c r="I47" s="110"/>
      <c r="J47" s="116"/>
      <c r="K47" s="276"/>
      <c r="L47" s="126"/>
      <c r="M47" s="130"/>
      <c r="N47" s="42"/>
      <c r="O47" s="39"/>
      <c r="P47" s="42"/>
      <c r="Q47" s="92"/>
      <c r="R47" s="42"/>
      <c r="S47" s="39"/>
      <c r="T47" s="42"/>
      <c r="U47" s="39"/>
      <c r="V47" s="42"/>
      <c r="W47" s="39"/>
      <c r="X47" s="42"/>
      <c r="AA47"/>
    </row>
    <row r="48" spans="1:27" x14ac:dyDescent="0.25">
      <c r="A48" s="297">
        <v>1182</v>
      </c>
      <c r="B48" s="274" t="s">
        <v>157</v>
      </c>
      <c r="C48" s="270"/>
      <c r="D48" s="270"/>
      <c r="E48" s="271"/>
      <c r="F48" s="272"/>
      <c r="G48" s="273"/>
      <c r="H48" s="273"/>
      <c r="I48" s="292" t="s">
        <v>159</v>
      </c>
      <c r="J48" s="293"/>
      <c r="K48" s="294"/>
      <c r="L48" s="295"/>
      <c r="M48" s="296">
        <f t="shared" si="18"/>
        <v>0</v>
      </c>
      <c r="N48" s="42"/>
      <c r="O48" s="39"/>
      <c r="P48" s="42"/>
      <c r="Q48" s="92"/>
      <c r="R48" s="42"/>
      <c r="S48" s="39"/>
      <c r="T48" s="42"/>
      <c r="U48" s="39"/>
      <c r="V48" s="42"/>
      <c r="W48" s="39"/>
      <c r="X48" s="42"/>
      <c r="AA48"/>
    </row>
    <row r="49" spans="1:27" x14ac:dyDescent="0.25">
      <c r="A49" s="71"/>
      <c r="B49" s="44" t="s">
        <v>168</v>
      </c>
      <c r="C49" s="45">
        <v>43281</v>
      </c>
      <c r="D49" s="45"/>
      <c r="E49" s="44"/>
      <c r="F49" s="46"/>
      <c r="G49" s="105">
        <f>2485.44+22365+16485.58</f>
        <v>41336.020000000004</v>
      </c>
      <c r="H49" s="105"/>
      <c r="I49" s="110"/>
      <c r="J49" s="116"/>
      <c r="K49" s="276"/>
      <c r="L49" s="126"/>
      <c r="M49" s="130"/>
      <c r="N49" s="42"/>
      <c r="O49" s="39"/>
      <c r="P49" s="42"/>
      <c r="Q49" s="92"/>
      <c r="R49" s="42"/>
      <c r="S49" s="39"/>
      <c r="T49" s="42"/>
      <c r="U49" s="39"/>
      <c r="V49" s="42"/>
      <c r="W49" s="39"/>
      <c r="X49" s="42"/>
      <c r="AA49"/>
    </row>
    <row r="50" spans="1:27" x14ac:dyDescent="0.25">
      <c r="A50" s="71"/>
      <c r="B50" s="44" t="s">
        <v>169</v>
      </c>
      <c r="C50" s="45">
        <v>43312</v>
      </c>
      <c r="D50" s="45"/>
      <c r="E50" s="44"/>
      <c r="F50" s="46"/>
      <c r="G50" s="105">
        <f>2415.48+40061.56</f>
        <v>42477.04</v>
      </c>
      <c r="H50" s="105"/>
      <c r="I50" s="110"/>
      <c r="J50" s="116"/>
      <c r="K50" s="276"/>
      <c r="L50" s="126"/>
      <c r="M50" s="130"/>
      <c r="N50" s="42"/>
      <c r="O50" s="39"/>
      <c r="P50" s="42"/>
      <c r="Q50" s="92"/>
      <c r="R50" s="42"/>
      <c r="S50" s="39"/>
      <c r="T50" s="42"/>
      <c r="U50" s="39"/>
      <c r="V50" s="42"/>
      <c r="W50" s="39"/>
      <c r="X50" s="42"/>
      <c r="AA50"/>
    </row>
    <row r="51" spans="1:27" x14ac:dyDescent="0.25">
      <c r="A51" s="71"/>
      <c r="B51" s="44" t="s">
        <v>170</v>
      </c>
      <c r="C51" s="45">
        <v>43343</v>
      </c>
      <c r="D51" s="45"/>
      <c r="E51" s="44"/>
      <c r="F51" s="46"/>
      <c r="G51" s="105">
        <v>21972.5</v>
      </c>
      <c r="H51" s="105"/>
      <c r="I51" s="110"/>
      <c r="J51" s="116"/>
      <c r="K51" s="276"/>
      <c r="L51" s="126"/>
      <c r="M51" s="130"/>
      <c r="N51" s="42"/>
      <c r="O51" s="39"/>
      <c r="P51" s="42"/>
      <c r="Q51" s="92"/>
      <c r="R51" s="42"/>
      <c r="S51" s="39"/>
      <c r="T51" s="42"/>
      <c r="U51" s="39"/>
      <c r="V51" s="42"/>
      <c r="W51" s="39"/>
      <c r="X51" s="42"/>
      <c r="AA51"/>
    </row>
    <row r="52" spans="1:27" x14ac:dyDescent="0.25">
      <c r="A52" s="71"/>
      <c r="B52" s="44" t="s">
        <v>171</v>
      </c>
      <c r="C52" s="45">
        <v>43373</v>
      </c>
      <c r="D52" s="45"/>
      <c r="E52" s="44"/>
      <c r="F52" s="46"/>
      <c r="G52" s="105">
        <f>40375+8519.36</f>
        <v>48894.36</v>
      </c>
      <c r="H52" s="105"/>
      <c r="I52" s="110"/>
      <c r="J52" s="116"/>
      <c r="K52" s="276"/>
      <c r="L52" s="126"/>
      <c r="M52" s="130"/>
      <c r="N52" s="42"/>
      <c r="O52" s="39"/>
      <c r="P52" s="42"/>
      <c r="Q52" s="92"/>
      <c r="R52" s="42"/>
      <c r="S52" s="39"/>
      <c r="T52" s="42"/>
      <c r="U52" s="39"/>
      <c r="V52" s="42"/>
      <c r="W52" s="39"/>
      <c r="X52" s="42"/>
      <c r="AA52"/>
    </row>
    <row r="53" spans="1:27" x14ac:dyDescent="0.25">
      <c r="A53" s="71"/>
      <c r="B53" s="44" t="s">
        <v>172</v>
      </c>
      <c r="C53" s="45">
        <v>43404</v>
      </c>
      <c r="D53" s="45"/>
      <c r="E53" s="44"/>
      <c r="F53" s="46"/>
      <c r="G53" s="105">
        <v>44412.5</v>
      </c>
      <c r="H53" s="105"/>
      <c r="I53" s="110"/>
      <c r="J53" s="116"/>
      <c r="K53" s="276"/>
      <c r="L53" s="126"/>
      <c r="M53" s="130"/>
      <c r="N53" s="42"/>
      <c r="O53" s="39"/>
      <c r="P53" s="42"/>
      <c r="Q53" s="92"/>
      <c r="R53" s="42"/>
      <c r="S53" s="39"/>
      <c r="T53" s="42"/>
      <c r="U53" s="39"/>
      <c r="V53" s="42"/>
      <c r="W53" s="39"/>
      <c r="X53" s="42"/>
      <c r="AA53"/>
    </row>
    <row r="54" spans="1:27" x14ac:dyDescent="0.25">
      <c r="A54" s="71"/>
      <c r="B54" s="44" t="s">
        <v>173</v>
      </c>
      <c r="C54" s="45">
        <v>43434</v>
      </c>
      <c r="D54" s="45"/>
      <c r="E54" s="44"/>
      <c r="F54" s="46"/>
      <c r="G54" s="105">
        <f>18258.05+26243.75</f>
        <v>44501.8</v>
      </c>
      <c r="H54" s="105"/>
      <c r="I54" s="110"/>
      <c r="J54" s="116"/>
      <c r="K54" s="276"/>
      <c r="L54" s="126"/>
      <c r="M54" s="130"/>
      <c r="N54" s="42"/>
      <c r="O54" s="39"/>
      <c r="P54" s="42"/>
      <c r="Q54" s="92"/>
      <c r="R54" s="42"/>
      <c r="S54" s="39"/>
      <c r="T54" s="42"/>
      <c r="U54" s="39"/>
      <c r="V54" s="42"/>
      <c r="W54" s="39"/>
      <c r="X54" s="42"/>
      <c r="AA54"/>
    </row>
    <row r="55" spans="1:27" x14ac:dyDescent="0.25">
      <c r="A55" s="71"/>
      <c r="B55" s="44" t="s">
        <v>174</v>
      </c>
      <c r="C55" s="45">
        <v>43465</v>
      </c>
      <c r="D55" s="45"/>
      <c r="E55" s="44"/>
      <c r="F55" s="46"/>
      <c r="G55" s="105">
        <v>38356.25</v>
      </c>
      <c r="H55" s="105"/>
      <c r="I55" s="110"/>
      <c r="J55" s="116"/>
      <c r="K55" s="276"/>
      <c r="L55" s="126"/>
      <c r="M55" s="130"/>
      <c r="N55" s="42"/>
      <c r="O55" s="39"/>
      <c r="P55" s="42"/>
      <c r="Q55" s="92"/>
      <c r="R55" s="42"/>
      <c r="S55" s="39"/>
      <c r="T55" s="42"/>
      <c r="U55" s="39"/>
      <c r="V55" s="42"/>
      <c r="W55" s="39"/>
      <c r="X55" s="42"/>
      <c r="AA55"/>
    </row>
    <row r="56" spans="1:27" x14ac:dyDescent="0.25">
      <c r="A56" s="297">
        <v>1183</v>
      </c>
      <c r="B56" s="274" t="s">
        <v>158</v>
      </c>
      <c r="C56" s="270"/>
      <c r="D56" s="270"/>
      <c r="E56" s="271"/>
      <c r="F56" s="272"/>
      <c r="G56" s="273"/>
      <c r="H56" s="273"/>
      <c r="I56" s="292" t="s">
        <v>159</v>
      </c>
      <c r="J56" s="293"/>
      <c r="K56" s="294"/>
      <c r="L56" s="295"/>
      <c r="M56" s="296">
        <f t="shared" si="18"/>
        <v>0</v>
      </c>
      <c r="N56" s="42"/>
      <c r="O56" s="39"/>
      <c r="P56" s="42"/>
      <c r="Q56" s="92"/>
      <c r="R56" s="42"/>
      <c r="S56" s="39"/>
      <c r="T56" s="42"/>
      <c r="U56" s="39"/>
      <c r="V56" s="42"/>
      <c r="W56" s="39"/>
      <c r="X56" s="42"/>
      <c r="AA56"/>
    </row>
    <row r="57" spans="1:27" x14ac:dyDescent="0.25">
      <c r="A57" s="71"/>
      <c r="B57" s="44" t="s">
        <v>167</v>
      </c>
      <c r="C57" s="45">
        <v>43446</v>
      </c>
      <c r="D57" s="45"/>
      <c r="E57" s="44"/>
      <c r="F57" s="46"/>
      <c r="G57" s="105">
        <v>3034.06</v>
      </c>
      <c r="H57" s="105"/>
      <c r="I57" s="110"/>
      <c r="J57" s="116"/>
      <c r="K57" s="276"/>
      <c r="L57" s="126"/>
      <c r="M57" s="130"/>
      <c r="N57" s="42"/>
      <c r="O57" s="39"/>
      <c r="P57" s="42"/>
      <c r="Q57" s="92"/>
      <c r="R57" s="42"/>
      <c r="S57" s="39"/>
      <c r="T57" s="42"/>
      <c r="U57" s="39"/>
      <c r="V57" s="42"/>
      <c r="W57" s="39"/>
      <c r="X57" s="42"/>
      <c r="AA57"/>
    </row>
    <row r="58" spans="1:27" ht="15.75" thickBot="1" x14ac:dyDescent="0.3">
      <c r="B58" s="51"/>
      <c r="C58" s="52"/>
      <c r="D58" s="52"/>
      <c r="E58" s="52"/>
      <c r="F58" s="32"/>
      <c r="G58" s="103">
        <f>SUM(G32:G38)</f>
        <v>6625204</v>
      </c>
      <c r="H58" s="103"/>
      <c r="I58" s="111">
        <f>SUM(I32:I38)</f>
        <v>621248</v>
      </c>
      <c r="J58" s="117">
        <f>SUM(J32:J38)</f>
        <v>6003956</v>
      </c>
      <c r="K58" s="291">
        <f t="shared" ref="K58:M58" si="19">SUM(K32:K38)</f>
        <v>180458.03666666668</v>
      </c>
      <c r="L58" s="289">
        <f t="shared" si="19"/>
        <v>801706.03666666651</v>
      </c>
      <c r="M58" s="290">
        <f t="shared" si="19"/>
        <v>5823497.9633333338</v>
      </c>
      <c r="AA58"/>
    </row>
    <row r="59" spans="1:27" x14ac:dyDescent="0.25">
      <c r="B59" s="37"/>
      <c r="C59" s="38"/>
      <c r="D59" s="38"/>
      <c r="E59" s="38"/>
      <c r="L59" s="40"/>
      <c r="AA59"/>
    </row>
    <row r="60" spans="1:27" x14ac:dyDescent="0.25">
      <c r="B60" s="12"/>
      <c r="C60" s="11"/>
      <c r="D60" s="11"/>
      <c r="E60" s="11"/>
      <c r="L60" s="40"/>
      <c r="AA60"/>
    </row>
    <row r="61" spans="1:27" x14ac:dyDescent="0.25">
      <c r="B61" s="54" t="s">
        <v>55</v>
      </c>
      <c r="C61" s="55"/>
      <c r="D61" s="55"/>
      <c r="E61" s="55"/>
      <c r="F61" s="56"/>
      <c r="G61" s="56">
        <f>L27+G58</f>
        <v>49768426.999999985</v>
      </c>
      <c r="H61" s="56"/>
      <c r="I61" s="57">
        <f>M27+I58</f>
        <v>2469245</v>
      </c>
      <c r="J61" s="57">
        <f>N27+J58</f>
        <v>47299182</v>
      </c>
      <c r="K61" s="57">
        <f>O27+K58</f>
        <v>509358.88925127662</v>
      </c>
      <c r="L61" s="58">
        <f>P27+L58</f>
        <v>2978603.8892512769</v>
      </c>
      <c r="M61" s="58">
        <f>Q27+M58</f>
        <v>46789823.110748708</v>
      </c>
      <c r="AA61"/>
    </row>
    <row r="63" spans="1:27" x14ac:dyDescent="0.25">
      <c r="A63">
        <v>1130</v>
      </c>
      <c r="E63" s="1" t="s">
        <v>140</v>
      </c>
      <c r="G63" s="56">
        <v>12858427</v>
      </c>
      <c r="H63" s="56"/>
    </row>
    <row r="64" spans="1:27" x14ac:dyDescent="0.25">
      <c r="E64" s="1" t="s">
        <v>141</v>
      </c>
      <c r="G64" s="56">
        <v>-1719747</v>
      </c>
      <c r="H64" s="56"/>
      <c r="L64" s="8"/>
    </row>
    <row r="65" spans="2:27" x14ac:dyDescent="0.25">
      <c r="E65" s="1" t="s">
        <v>141</v>
      </c>
      <c r="G65" s="56">
        <v>-668306</v>
      </c>
      <c r="H65" s="56"/>
      <c r="K65" s="40"/>
      <c r="L65" s="42"/>
      <c r="Y65"/>
      <c r="Z65"/>
      <c r="AA65"/>
    </row>
    <row r="66" spans="2:27" x14ac:dyDescent="0.25">
      <c r="E66" s="1" t="s">
        <v>141</v>
      </c>
      <c r="G66" s="56">
        <v>-81192</v>
      </c>
      <c r="H66" s="56"/>
      <c r="K66" s="40"/>
      <c r="L66" s="42"/>
      <c r="Y66"/>
      <c r="Z66"/>
      <c r="AA66"/>
    </row>
    <row r="67" spans="2:27" ht="15.75" thickBot="1" x14ac:dyDescent="0.3">
      <c r="B67" t="s">
        <v>152</v>
      </c>
      <c r="G67" s="253">
        <f>L27+G32+G33+G34+G35+G36+G37+G63+G64+G65+G66+G38</f>
        <v>60157608.999999985</v>
      </c>
      <c r="H67" s="280"/>
      <c r="I67" s="1" t="s">
        <v>142</v>
      </c>
      <c r="K67" s="40"/>
      <c r="L67" s="40"/>
      <c r="Y67"/>
      <c r="Z67"/>
      <c r="AA67"/>
    </row>
    <row r="68" spans="2:27" ht="15.75" thickTop="1" x14ac:dyDescent="0.25">
      <c r="B68" t="s">
        <v>153</v>
      </c>
      <c r="K68" s="40"/>
      <c r="L68" s="40"/>
      <c r="Y68"/>
      <c r="Z68"/>
      <c r="AA68"/>
    </row>
    <row r="69" spans="2:27" x14ac:dyDescent="0.25">
      <c r="K69" s="40"/>
      <c r="L69" s="40"/>
      <c r="Y69"/>
      <c r="Z69"/>
      <c r="AA69"/>
    </row>
    <row r="70" spans="2:27" x14ac:dyDescent="0.25">
      <c r="K70" s="40"/>
      <c r="L70" s="40"/>
      <c r="Y70"/>
      <c r="Z70"/>
      <c r="AA70"/>
    </row>
    <row r="71" spans="2:27" x14ac:dyDescent="0.25">
      <c r="K71" s="40"/>
      <c r="L71" s="40"/>
      <c r="Y71"/>
      <c r="Z71"/>
      <c r="AA71"/>
    </row>
    <row r="72" spans="2:27" x14ac:dyDescent="0.25">
      <c r="K72" s="40"/>
      <c r="L72" s="40"/>
      <c r="Y72"/>
      <c r="Z72"/>
      <c r="AA72"/>
    </row>
    <row r="73" spans="2:27" x14ac:dyDescent="0.25">
      <c r="K73" s="40"/>
      <c r="L73" s="40"/>
      <c r="Y73"/>
      <c r="Z73"/>
      <c r="AA73"/>
    </row>
    <row r="74" spans="2:27" x14ac:dyDescent="0.25">
      <c r="K74" s="40"/>
      <c r="L74" s="40"/>
      <c r="Y74"/>
      <c r="Z74"/>
      <c r="AA74"/>
    </row>
    <row r="75" spans="2:27" x14ac:dyDescent="0.25">
      <c r="K75" s="40"/>
      <c r="L75" s="40"/>
      <c r="Y75"/>
      <c r="Z75"/>
      <c r="AA75"/>
    </row>
    <row r="76" spans="2:27" x14ac:dyDescent="0.25">
      <c r="K76" s="40"/>
      <c r="L76" s="40"/>
      <c r="Y76"/>
      <c r="Z76"/>
      <c r="AA76"/>
    </row>
    <row r="77" spans="2:27" x14ac:dyDescent="0.25">
      <c r="K77" s="40"/>
      <c r="L77" s="40"/>
      <c r="Y77"/>
      <c r="Z77"/>
      <c r="AA77"/>
    </row>
    <row r="78" spans="2:27" x14ac:dyDescent="0.25">
      <c r="B78" t="s">
        <v>57</v>
      </c>
      <c r="K78" s="40"/>
      <c r="L78" s="40"/>
      <c r="Y78"/>
      <c r="Z78"/>
      <c r="AA78"/>
    </row>
    <row r="79" spans="2:27" x14ac:dyDescent="0.25">
      <c r="C79" t="s">
        <v>59</v>
      </c>
      <c r="K79" s="40"/>
      <c r="L79" s="40"/>
      <c r="Y79"/>
      <c r="Z79"/>
      <c r="AA79"/>
    </row>
    <row r="80" spans="2:27" x14ac:dyDescent="0.25">
      <c r="C80" t="s">
        <v>56</v>
      </c>
    </row>
    <row r="82" spans="3:3" x14ac:dyDescent="0.25">
      <c r="C82" t="s">
        <v>58</v>
      </c>
    </row>
  </sheetData>
  <mergeCells count="4">
    <mergeCell ref="C5:E5"/>
    <mergeCell ref="C6:E6"/>
    <mergeCell ref="C7:E7"/>
    <mergeCell ref="C8:E8"/>
  </mergeCells>
  <pageMargins left="0.7" right="0.7" top="0.75" bottom="0.75" header="0.3" footer="0.3"/>
  <pageSetup paperSize="9" scale="68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2"/>
  <sheetViews>
    <sheetView showGridLines="0" zoomScale="90" zoomScaleNormal="90" workbookViewId="0">
      <selection activeCell="G29" sqref="G29"/>
    </sheetView>
  </sheetViews>
  <sheetFormatPr defaultRowHeight="15" x14ac:dyDescent="0.25"/>
  <cols>
    <col min="1" max="1" width="36.28515625" customWidth="1"/>
    <col min="2" max="2" width="14.28515625" bestFit="1" customWidth="1"/>
    <col min="3" max="3" width="12.28515625" bestFit="1" customWidth="1"/>
    <col min="4" max="4" width="11.28515625" style="3" customWidth="1"/>
    <col min="5" max="5" width="14.7109375" style="3" bestFit="1" customWidth="1"/>
    <col min="6" max="6" width="16.28515625" bestFit="1" customWidth="1"/>
    <col min="7" max="7" width="15" customWidth="1"/>
    <col min="8" max="8" width="13.28515625" bestFit="1" customWidth="1"/>
    <col min="9" max="9" width="15.85546875" style="40" customWidth="1"/>
    <col min="10" max="10" width="15" style="40" customWidth="1"/>
    <col min="11" max="11" width="5" style="40" customWidth="1"/>
    <col min="12" max="12" width="15.140625" style="40" customWidth="1"/>
    <col min="13" max="13" width="15.85546875" style="40" customWidth="1"/>
    <col min="14" max="14" width="11.5703125" style="40" customWidth="1"/>
    <col min="15" max="15" width="13.28515625" style="40" bestFit="1" customWidth="1"/>
    <col min="16" max="16" width="12.42578125" style="40" customWidth="1"/>
    <col min="17" max="17" width="13.28515625" style="40" bestFit="1" customWidth="1"/>
    <col min="18" max="18" width="12.42578125" style="40" customWidth="1"/>
    <col min="19" max="19" width="15.5703125" style="40" customWidth="1"/>
    <col min="20" max="20" width="12.140625" style="40" customWidth="1"/>
    <col min="21" max="21" width="14.28515625" style="40" customWidth="1"/>
    <col min="22" max="23" width="9.140625" style="40"/>
  </cols>
  <sheetData>
    <row r="1" spans="1:21" x14ac:dyDescent="0.25">
      <c r="A1" s="1" t="s">
        <v>44</v>
      </c>
    </row>
    <row r="2" spans="1:21" x14ac:dyDescent="0.25">
      <c r="A2" s="40" t="s">
        <v>95</v>
      </c>
    </row>
    <row r="3" spans="1:21" x14ac:dyDescent="0.25">
      <c r="A3" s="40" t="s">
        <v>99</v>
      </c>
      <c r="D3" s="3" t="s">
        <v>36</v>
      </c>
      <c r="E3" s="3" t="s">
        <v>37</v>
      </c>
      <c r="F3" t="s">
        <v>39</v>
      </c>
      <c r="G3" t="s">
        <v>38</v>
      </c>
    </row>
    <row r="4" spans="1:21" x14ac:dyDescent="0.25">
      <c r="A4" s="40" t="s">
        <v>98</v>
      </c>
      <c r="B4" s="14"/>
      <c r="C4" s="14"/>
      <c r="D4" s="33">
        <v>37188</v>
      </c>
      <c r="E4" s="33">
        <v>43465</v>
      </c>
      <c r="F4" s="2">
        <v>0.01</v>
      </c>
      <c r="G4" s="9">
        <f>(D4-E4)/365</f>
        <v>-17.197260273972603</v>
      </c>
    </row>
    <row r="5" spans="1:21" x14ac:dyDescent="0.25">
      <c r="B5" s="14"/>
      <c r="C5" s="14"/>
      <c r="D5" s="16"/>
      <c r="E5" s="16"/>
    </row>
    <row r="6" spans="1:21" x14ac:dyDescent="0.25">
      <c r="A6" s="7" t="s">
        <v>20</v>
      </c>
      <c r="B6" s="260">
        <v>43983223</v>
      </c>
      <c r="C6" s="261"/>
      <c r="D6" s="16"/>
      <c r="E6" s="16"/>
      <c r="L6" s="95" t="s">
        <v>62</v>
      </c>
    </row>
    <row r="7" spans="1:21" x14ac:dyDescent="0.25">
      <c r="A7" s="7" t="s">
        <v>21</v>
      </c>
      <c r="B7" s="260">
        <v>1883173</v>
      </c>
      <c r="C7" s="261"/>
      <c r="D7" s="16"/>
      <c r="E7" s="16"/>
      <c r="F7" s="8"/>
      <c r="L7" s="95" t="s">
        <v>64</v>
      </c>
    </row>
    <row r="8" spans="1:21" x14ac:dyDescent="0.25">
      <c r="A8" s="7" t="s">
        <v>17</v>
      </c>
      <c r="B8" s="262">
        <f>-ROUND(G4,2)</f>
        <v>17.2</v>
      </c>
      <c r="C8" s="263"/>
      <c r="E8" s="10"/>
      <c r="F8" s="11"/>
      <c r="G8" s="12"/>
      <c r="L8" s="95" t="s">
        <v>63</v>
      </c>
    </row>
    <row r="9" spans="1:21" hidden="1" x14ac:dyDescent="0.25">
      <c r="A9" s="13" t="s">
        <v>23</v>
      </c>
      <c r="B9" s="264">
        <v>0</v>
      </c>
      <c r="C9" s="265"/>
      <c r="E9" s="10"/>
      <c r="F9" s="11"/>
      <c r="G9" s="12"/>
    </row>
    <row r="11" spans="1:21" hidden="1" x14ac:dyDescent="0.25"/>
    <row r="13" spans="1:21" ht="45" x14ac:dyDescent="0.25">
      <c r="A13" s="34" t="s">
        <v>24</v>
      </c>
      <c r="B13" s="68"/>
      <c r="C13" s="68" t="s">
        <v>19</v>
      </c>
      <c r="D13" s="68" t="s">
        <v>18</v>
      </c>
      <c r="E13" s="86" t="s">
        <v>26</v>
      </c>
      <c r="F13" s="86" t="s">
        <v>27</v>
      </c>
      <c r="G13" s="86" t="s">
        <v>43</v>
      </c>
      <c r="H13" s="68" t="s">
        <v>45</v>
      </c>
      <c r="I13" s="87" t="s">
        <v>46</v>
      </c>
      <c r="J13" s="88" t="s">
        <v>47</v>
      </c>
      <c r="K13" s="41"/>
      <c r="L13" s="98" t="s">
        <v>88</v>
      </c>
      <c r="M13" s="98" t="s">
        <v>90</v>
      </c>
      <c r="N13" s="39"/>
      <c r="O13" s="41"/>
      <c r="P13" s="39"/>
      <c r="Q13" s="41"/>
      <c r="R13" s="39"/>
      <c r="S13" s="41"/>
      <c r="T13" s="39"/>
      <c r="U13" s="41"/>
    </row>
    <row r="14" spans="1:21" x14ac:dyDescent="0.25">
      <c r="A14" t="s">
        <v>1</v>
      </c>
      <c r="B14" s="4">
        <v>0.49199999999999999</v>
      </c>
      <c r="C14">
        <v>100</v>
      </c>
      <c r="D14">
        <f t="shared" ref="D14:D27" si="0">IF(C14-$B$8&lt;0,C14+C14-$B$8,C14-$B$8)</f>
        <v>82.8</v>
      </c>
      <c r="E14" s="3">
        <f t="shared" ref="E14:E27" si="1">ROUND(B14*$B$6,0)</f>
        <v>21639746</v>
      </c>
      <c r="F14" s="3">
        <f>ROUND(B14*$B$7,0)</f>
        <v>926521</v>
      </c>
      <c r="G14" s="8">
        <f>E14-F14</f>
        <v>20713225</v>
      </c>
      <c r="H14" s="8">
        <f>E14/C14*-1</f>
        <v>-216397.46</v>
      </c>
      <c r="I14" s="42">
        <f>F14-H14</f>
        <v>1142918.46</v>
      </c>
      <c r="J14" s="43">
        <f>E14-I14</f>
        <v>20496827.539999999</v>
      </c>
      <c r="K14" s="42"/>
      <c r="L14" s="93">
        <f>H14*D14</f>
        <v>-17917709.687999997</v>
      </c>
      <c r="M14" s="94"/>
      <c r="N14" s="43"/>
      <c r="O14" s="42"/>
      <c r="P14" s="43"/>
      <c r="Q14" s="42"/>
      <c r="R14" s="43"/>
      <c r="S14" s="42"/>
      <c r="T14" s="43"/>
      <c r="U14" s="42"/>
    </row>
    <row r="15" spans="1:21" x14ac:dyDescent="0.25">
      <c r="A15" t="s">
        <v>2</v>
      </c>
      <c r="B15" s="4">
        <v>1.2E-2</v>
      </c>
      <c r="C15">
        <v>50</v>
      </c>
      <c r="D15">
        <f t="shared" si="0"/>
        <v>32.799999999999997</v>
      </c>
      <c r="E15" s="3">
        <f t="shared" si="1"/>
        <v>527799</v>
      </c>
      <c r="F15" s="3">
        <f t="shared" ref="F15:F27" si="2">ROUND(B15*$B$7,0)</f>
        <v>22598</v>
      </c>
      <c r="G15" s="8">
        <f t="shared" ref="G15:G27" si="3">E15-F15</f>
        <v>505201</v>
      </c>
      <c r="H15" s="8">
        <f t="shared" ref="H15:H27" si="4">E15/C15*-1</f>
        <v>-10555.98</v>
      </c>
      <c r="I15" s="42">
        <f t="shared" ref="I15:I27" si="5">F15-H15</f>
        <v>33153.979999999996</v>
      </c>
      <c r="J15" s="43">
        <f t="shared" ref="J15:J27" si="6">E15-I15</f>
        <v>494645.02</v>
      </c>
      <c r="K15" s="42"/>
      <c r="L15" s="93">
        <f t="shared" ref="L15:L27" si="7">H15*D15</f>
        <v>-346236.14399999997</v>
      </c>
      <c r="M15" s="94"/>
      <c r="N15" s="43"/>
      <c r="O15" s="42"/>
      <c r="P15" s="43"/>
      <c r="Q15" s="42"/>
      <c r="R15" s="43"/>
      <c r="S15" s="42"/>
      <c r="T15" s="43"/>
      <c r="U15" s="42"/>
    </row>
    <row r="16" spans="1:21" x14ac:dyDescent="0.25">
      <c r="A16" t="s">
        <v>3</v>
      </c>
      <c r="B16" s="4">
        <v>8.0000000000000002E-3</v>
      </c>
      <c r="C16">
        <v>50</v>
      </c>
      <c r="D16">
        <f t="shared" si="0"/>
        <v>32.799999999999997</v>
      </c>
      <c r="E16" s="3">
        <f t="shared" si="1"/>
        <v>351866</v>
      </c>
      <c r="F16" s="3">
        <f t="shared" si="2"/>
        <v>15065</v>
      </c>
      <c r="G16" s="8">
        <f t="shared" si="3"/>
        <v>336801</v>
      </c>
      <c r="H16" s="8">
        <f t="shared" si="4"/>
        <v>-7037.32</v>
      </c>
      <c r="I16" s="42">
        <f t="shared" si="5"/>
        <v>22102.32</v>
      </c>
      <c r="J16" s="43">
        <f t="shared" si="6"/>
        <v>329763.68</v>
      </c>
      <c r="K16" s="42"/>
      <c r="L16" s="93">
        <f t="shared" si="7"/>
        <v>-230824.09599999996</v>
      </c>
      <c r="M16" s="94" t="s">
        <v>61</v>
      </c>
      <c r="N16" s="43"/>
      <c r="O16" s="42"/>
      <c r="P16" s="43"/>
      <c r="Q16" s="42"/>
      <c r="R16" s="43"/>
      <c r="S16" s="42"/>
      <c r="T16" s="43"/>
      <c r="U16" s="42"/>
    </row>
    <row r="17" spans="1:23" x14ac:dyDescent="0.25">
      <c r="A17" t="s">
        <v>4</v>
      </c>
      <c r="B17" s="4">
        <v>0.2</v>
      </c>
      <c r="C17">
        <v>40</v>
      </c>
      <c r="D17">
        <f t="shared" si="0"/>
        <v>22.8</v>
      </c>
      <c r="E17" s="3">
        <f t="shared" si="1"/>
        <v>8796645</v>
      </c>
      <c r="F17" s="3">
        <f t="shared" si="2"/>
        <v>376635</v>
      </c>
      <c r="G17" s="8">
        <f t="shared" si="3"/>
        <v>8420010</v>
      </c>
      <c r="H17" s="8">
        <f t="shared" si="4"/>
        <v>-219916.125</v>
      </c>
      <c r="I17" s="42">
        <f t="shared" si="5"/>
        <v>596551.125</v>
      </c>
      <c r="J17" s="43">
        <f t="shared" si="6"/>
        <v>8200093.875</v>
      </c>
      <c r="K17" s="42"/>
      <c r="L17" s="93">
        <f t="shared" si="7"/>
        <v>-5014087.6500000004</v>
      </c>
      <c r="M17" s="94" t="s">
        <v>60</v>
      </c>
      <c r="N17" s="43"/>
      <c r="O17" s="42"/>
      <c r="P17" s="43"/>
      <c r="Q17" s="42"/>
      <c r="R17" s="43"/>
      <c r="S17" s="42"/>
      <c r="T17" s="43"/>
      <c r="U17" s="42"/>
    </row>
    <row r="18" spans="1:23" x14ac:dyDescent="0.25">
      <c r="A18" t="s">
        <v>5</v>
      </c>
      <c r="B18" s="4">
        <v>0.16500000000000001</v>
      </c>
      <c r="C18">
        <v>15</v>
      </c>
      <c r="D18">
        <f t="shared" si="0"/>
        <v>12.8</v>
      </c>
      <c r="E18" s="3">
        <f t="shared" si="1"/>
        <v>7257232</v>
      </c>
      <c r="F18" s="3">
        <f t="shared" si="2"/>
        <v>310724</v>
      </c>
      <c r="G18" s="8">
        <f t="shared" si="3"/>
        <v>6946508</v>
      </c>
      <c r="H18" s="8">
        <f t="shared" si="4"/>
        <v>-483815.46666666667</v>
      </c>
      <c r="I18" s="42">
        <f t="shared" si="5"/>
        <v>794539.46666666667</v>
      </c>
      <c r="J18" s="43">
        <f t="shared" si="6"/>
        <v>6462692.5333333332</v>
      </c>
      <c r="K18" s="42"/>
      <c r="L18" s="93">
        <f t="shared" si="7"/>
        <v>-6192837.9733333336</v>
      </c>
      <c r="M18" s="94" t="s">
        <v>101</v>
      </c>
      <c r="N18" s="43"/>
      <c r="O18" s="42"/>
      <c r="P18" s="43"/>
      <c r="Q18" s="42"/>
      <c r="R18" s="43"/>
      <c r="S18" s="42"/>
      <c r="T18" s="43"/>
      <c r="U18" s="42"/>
    </row>
    <row r="19" spans="1:23" x14ac:dyDescent="0.25">
      <c r="A19" t="s">
        <v>6</v>
      </c>
      <c r="B19" s="4">
        <v>3.0000000000000001E-3</v>
      </c>
      <c r="C19">
        <v>50</v>
      </c>
      <c r="D19">
        <f>IF(C19-$B$8&lt;0,C19+C19-$B$8,C19-$B$8)</f>
        <v>32.799999999999997</v>
      </c>
      <c r="E19" s="3">
        <f t="shared" si="1"/>
        <v>131950</v>
      </c>
      <c r="F19" s="3">
        <f t="shared" si="2"/>
        <v>5650</v>
      </c>
      <c r="G19" s="8">
        <f t="shared" si="3"/>
        <v>126300</v>
      </c>
      <c r="H19" s="8">
        <f t="shared" si="4"/>
        <v>-2639</v>
      </c>
      <c r="I19" s="42">
        <f t="shared" si="5"/>
        <v>8289</v>
      </c>
      <c r="J19" s="43">
        <f t="shared" si="6"/>
        <v>123661</v>
      </c>
      <c r="K19" s="42"/>
      <c r="L19" s="93">
        <f t="shared" si="7"/>
        <v>-86559.2</v>
      </c>
      <c r="M19" s="94" t="s">
        <v>69</v>
      </c>
      <c r="N19" s="43"/>
      <c r="O19" s="42"/>
      <c r="P19" s="43"/>
      <c r="Q19" s="42"/>
      <c r="R19" s="43"/>
      <c r="S19" s="42"/>
      <c r="T19" s="43"/>
      <c r="U19" s="42"/>
    </row>
    <row r="20" spans="1:23" x14ac:dyDescent="0.25">
      <c r="A20" t="s">
        <v>7</v>
      </c>
      <c r="B20" s="4">
        <v>2E-3</v>
      </c>
      <c r="C20">
        <v>50</v>
      </c>
      <c r="D20">
        <f t="shared" si="0"/>
        <v>32.799999999999997</v>
      </c>
      <c r="E20" s="3">
        <f t="shared" si="1"/>
        <v>87966</v>
      </c>
      <c r="F20" s="3">
        <f t="shared" si="2"/>
        <v>3766</v>
      </c>
      <c r="G20" s="8">
        <f t="shared" si="3"/>
        <v>84200</v>
      </c>
      <c r="H20" s="8">
        <f t="shared" si="4"/>
        <v>-1759.32</v>
      </c>
      <c r="I20" s="42">
        <f t="shared" si="5"/>
        <v>5525.32</v>
      </c>
      <c r="J20" s="43">
        <f t="shared" si="6"/>
        <v>82440.679999999993</v>
      </c>
      <c r="K20" s="42"/>
      <c r="L20" s="93">
        <f t="shared" si="7"/>
        <v>-57705.695999999996</v>
      </c>
      <c r="M20" s="94" t="s">
        <v>65</v>
      </c>
      <c r="N20" s="43"/>
      <c r="O20" s="42"/>
      <c r="P20" s="43"/>
      <c r="Q20" s="42"/>
      <c r="R20" s="43"/>
      <c r="S20" s="42"/>
      <c r="T20" s="43"/>
      <c r="U20" s="42"/>
    </row>
    <row r="21" spans="1:23" hidden="1" x14ac:dyDescent="0.25">
      <c r="A21" s="31" t="s">
        <v>8</v>
      </c>
      <c r="B21" s="4">
        <v>0</v>
      </c>
      <c r="C21">
        <v>30</v>
      </c>
      <c r="D21">
        <f t="shared" si="0"/>
        <v>12.8</v>
      </c>
      <c r="E21" s="3">
        <f t="shared" si="1"/>
        <v>0</v>
      </c>
      <c r="F21" s="3">
        <f t="shared" si="2"/>
        <v>0</v>
      </c>
      <c r="G21" s="8">
        <f t="shared" si="3"/>
        <v>0</v>
      </c>
      <c r="H21" s="8">
        <f t="shared" si="4"/>
        <v>0</v>
      </c>
      <c r="I21" s="42">
        <f t="shared" si="5"/>
        <v>0</v>
      </c>
      <c r="J21" s="43">
        <f t="shared" si="6"/>
        <v>0</v>
      </c>
      <c r="K21" s="42"/>
      <c r="L21" s="93">
        <f t="shared" si="7"/>
        <v>0</v>
      </c>
      <c r="M21" s="94"/>
      <c r="N21" s="43"/>
      <c r="O21" s="42"/>
      <c r="P21" s="43"/>
      <c r="Q21" s="42"/>
      <c r="R21" s="43"/>
      <c r="S21" s="42"/>
      <c r="T21" s="43"/>
      <c r="U21" s="42"/>
    </row>
    <row r="22" spans="1:23" x14ac:dyDescent="0.25">
      <c r="A22" t="s">
        <v>8</v>
      </c>
      <c r="B22" s="4">
        <v>3.5000000000000003E-2</v>
      </c>
      <c r="C22">
        <v>30</v>
      </c>
      <c r="D22">
        <f t="shared" si="0"/>
        <v>12.8</v>
      </c>
      <c r="E22" s="3">
        <f t="shared" si="1"/>
        <v>1539413</v>
      </c>
      <c r="F22" s="3">
        <f t="shared" si="2"/>
        <v>65911</v>
      </c>
      <c r="G22" s="8">
        <f t="shared" si="3"/>
        <v>1473502</v>
      </c>
      <c r="H22" s="8">
        <f t="shared" si="4"/>
        <v>-51313.76666666667</v>
      </c>
      <c r="I22" s="42">
        <f t="shared" si="5"/>
        <v>117224.76666666666</v>
      </c>
      <c r="J22" s="43">
        <f t="shared" si="6"/>
        <v>1422188.2333333334</v>
      </c>
      <c r="K22" s="42"/>
      <c r="L22" s="93">
        <f t="shared" si="7"/>
        <v>-656816.21333333338</v>
      </c>
      <c r="M22" s="94" t="s">
        <v>101</v>
      </c>
      <c r="N22" s="43"/>
      <c r="O22" s="42"/>
      <c r="P22" s="43"/>
      <c r="Q22" s="42"/>
      <c r="R22" s="43"/>
      <c r="S22" s="42"/>
      <c r="T22" s="43"/>
      <c r="U22" s="42"/>
    </row>
    <row r="23" spans="1:23" s="14" customFormat="1" x14ac:dyDescent="0.25">
      <c r="A23" t="s">
        <v>9</v>
      </c>
      <c r="B23" s="4">
        <v>0.05</v>
      </c>
      <c r="C23">
        <v>40</v>
      </c>
      <c r="D23">
        <f t="shared" si="0"/>
        <v>22.8</v>
      </c>
      <c r="E23" s="3">
        <f t="shared" si="1"/>
        <v>2199161</v>
      </c>
      <c r="F23" s="3">
        <f t="shared" si="2"/>
        <v>94159</v>
      </c>
      <c r="G23" s="8">
        <f t="shared" si="3"/>
        <v>2105002</v>
      </c>
      <c r="H23" s="8">
        <f t="shared" si="4"/>
        <v>-54979.025000000001</v>
      </c>
      <c r="I23" s="42">
        <f t="shared" si="5"/>
        <v>149138.02499999999</v>
      </c>
      <c r="J23" s="43">
        <f t="shared" si="6"/>
        <v>2050022.9750000001</v>
      </c>
      <c r="K23" s="42"/>
      <c r="L23" s="93">
        <f t="shared" si="7"/>
        <v>-1253521.77</v>
      </c>
      <c r="M23" s="94" t="s">
        <v>66</v>
      </c>
      <c r="N23" s="43"/>
      <c r="O23" s="42"/>
      <c r="P23" s="43"/>
      <c r="Q23" s="42"/>
      <c r="R23" s="43"/>
      <c r="S23" s="42"/>
      <c r="T23" s="43"/>
      <c r="U23" s="42"/>
      <c r="V23" s="40"/>
      <c r="W23" s="40"/>
    </row>
    <row r="24" spans="1:23" x14ac:dyDescent="0.25">
      <c r="A24" s="14" t="s">
        <v>10</v>
      </c>
      <c r="B24" s="15">
        <v>3.0000000000000001E-3</v>
      </c>
      <c r="C24" s="14">
        <v>25</v>
      </c>
      <c r="D24">
        <f t="shared" si="0"/>
        <v>7.8000000000000007</v>
      </c>
      <c r="E24" s="16">
        <f t="shared" si="1"/>
        <v>131950</v>
      </c>
      <c r="F24" s="3">
        <f t="shared" si="2"/>
        <v>5650</v>
      </c>
      <c r="G24" s="8">
        <f t="shared" si="3"/>
        <v>126300</v>
      </c>
      <c r="H24" s="8">
        <f t="shared" si="4"/>
        <v>-5278</v>
      </c>
      <c r="I24" s="42">
        <f t="shared" si="5"/>
        <v>10928</v>
      </c>
      <c r="J24" s="43">
        <f t="shared" si="6"/>
        <v>121022</v>
      </c>
      <c r="K24" s="42"/>
      <c r="L24" s="93">
        <f t="shared" si="7"/>
        <v>-41168.400000000001</v>
      </c>
      <c r="M24" s="94" t="s">
        <v>70</v>
      </c>
      <c r="N24" s="43"/>
      <c r="O24" s="42"/>
      <c r="P24" s="43"/>
      <c r="Q24" s="42"/>
      <c r="R24" s="43"/>
      <c r="S24" s="42"/>
      <c r="T24" s="43"/>
      <c r="U24" s="42"/>
    </row>
    <row r="25" spans="1:23" x14ac:dyDescent="0.25">
      <c r="A25" t="s">
        <v>11</v>
      </c>
      <c r="B25" s="4">
        <v>3.0000000000000001E-3</v>
      </c>
      <c r="C25">
        <v>25</v>
      </c>
      <c r="D25">
        <f t="shared" si="0"/>
        <v>7.8000000000000007</v>
      </c>
      <c r="E25" s="3">
        <f t="shared" si="1"/>
        <v>131950</v>
      </c>
      <c r="F25" s="3">
        <f t="shared" si="2"/>
        <v>5650</v>
      </c>
      <c r="G25" s="8">
        <f t="shared" si="3"/>
        <v>126300</v>
      </c>
      <c r="H25" s="8">
        <f t="shared" si="4"/>
        <v>-5278</v>
      </c>
      <c r="I25" s="42">
        <f t="shared" si="5"/>
        <v>10928</v>
      </c>
      <c r="J25" s="43">
        <f t="shared" si="6"/>
        <v>121022</v>
      </c>
      <c r="K25" s="42"/>
      <c r="L25" s="93">
        <f t="shared" si="7"/>
        <v>-41168.400000000001</v>
      </c>
      <c r="M25" s="94" t="s">
        <v>67</v>
      </c>
      <c r="N25" s="43"/>
      <c r="O25" s="42"/>
      <c r="P25" s="43"/>
      <c r="Q25" s="42"/>
      <c r="R25" s="43"/>
      <c r="S25" s="42"/>
      <c r="T25" s="43"/>
      <c r="U25" s="42"/>
    </row>
    <row r="26" spans="1:23" x14ac:dyDescent="0.25">
      <c r="A26" t="s">
        <v>12</v>
      </c>
      <c r="B26" s="4">
        <v>2.4E-2</v>
      </c>
      <c r="C26">
        <v>15</v>
      </c>
      <c r="D26">
        <f t="shared" si="0"/>
        <v>12.8</v>
      </c>
      <c r="E26" s="3">
        <f t="shared" si="1"/>
        <v>1055597</v>
      </c>
      <c r="F26" s="3">
        <f t="shared" si="2"/>
        <v>45196</v>
      </c>
      <c r="G26" s="8">
        <f t="shared" si="3"/>
        <v>1010401</v>
      </c>
      <c r="H26" s="8">
        <f t="shared" si="4"/>
        <v>-70373.133333333331</v>
      </c>
      <c r="I26" s="42">
        <f t="shared" si="5"/>
        <v>115569.13333333333</v>
      </c>
      <c r="J26" s="43">
        <f t="shared" si="6"/>
        <v>940027.8666666667</v>
      </c>
      <c r="K26" s="42"/>
      <c r="L26" s="93">
        <f t="shared" si="7"/>
        <v>-900776.10666666669</v>
      </c>
      <c r="M26" s="94" t="s">
        <v>68</v>
      </c>
      <c r="N26" s="43"/>
      <c r="O26" s="42"/>
      <c r="P26" s="43"/>
      <c r="Q26" s="42"/>
      <c r="R26" s="43"/>
      <c r="S26" s="42"/>
      <c r="T26" s="43"/>
      <c r="U26" s="42"/>
    </row>
    <row r="27" spans="1:23" x14ac:dyDescent="0.25">
      <c r="A27" s="17" t="s">
        <v>13</v>
      </c>
      <c r="B27" s="18">
        <v>3.0000000000000001E-3</v>
      </c>
      <c r="C27" s="17">
        <v>50</v>
      </c>
      <c r="D27" s="17">
        <f t="shared" si="0"/>
        <v>32.799999999999997</v>
      </c>
      <c r="E27" s="19">
        <f t="shared" si="1"/>
        <v>131950</v>
      </c>
      <c r="F27" s="19">
        <f t="shared" si="2"/>
        <v>5650</v>
      </c>
      <c r="G27" s="22">
        <f t="shared" si="3"/>
        <v>126300</v>
      </c>
      <c r="H27" s="8">
        <f t="shared" si="4"/>
        <v>-2639</v>
      </c>
      <c r="I27" s="20">
        <f t="shared" si="5"/>
        <v>8289</v>
      </c>
      <c r="J27" s="19">
        <f t="shared" si="6"/>
        <v>123661</v>
      </c>
      <c r="K27" s="42"/>
      <c r="L27" s="93">
        <f t="shared" si="7"/>
        <v>-86559.2</v>
      </c>
      <c r="M27" s="94"/>
      <c r="N27" s="43"/>
      <c r="O27" s="42"/>
      <c r="P27" s="43"/>
      <c r="Q27" s="42"/>
      <c r="R27" s="43"/>
      <c r="S27" s="42"/>
      <c r="T27" s="43"/>
      <c r="U27" s="42"/>
    </row>
    <row r="28" spans="1:23" x14ac:dyDescent="0.25">
      <c r="B28" s="6">
        <f>SUM(B14:B27)</f>
        <v>1</v>
      </c>
      <c r="C28" s="191">
        <f>E28/H28</f>
        <v>-38.855070726871269</v>
      </c>
      <c r="D28" s="190">
        <f>J28/H28</f>
        <v>-36.191461525497886</v>
      </c>
      <c r="E28" s="16">
        <f t="shared" ref="E28:J28" si="8">SUM(E14:E27)</f>
        <v>43983225</v>
      </c>
      <c r="F28" s="16">
        <f t="shared" si="8"/>
        <v>1883175</v>
      </c>
      <c r="G28" s="16">
        <f>SUM(G14:G27)</f>
        <v>42100050</v>
      </c>
      <c r="H28" s="23">
        <f t="shared" si="8"/>
        <v>-1131981.5966666667</v>
      </c>
      <c r="I28" s="43">
        <f t="shared" si="8"/>
        <v>3015156.5966666662</v>
      </c>
      <c r="J28" s="42">
        <f t="shared" si="8"/>
        <v>40968068.403333336</v>
      </c>
      <c r="K28" s="43"/>
      <c r="L28" s="94">
        <f>SUM(L14:L27)</f>
        <v>-32825970.537333328</v>
      </c>
      <c r="M28" s="93"/>
      <c r="N28" s="42"/>
      <c r="O28" s="43"/>
      <c r="P28" s="42"/>
      <c r="Q28" s="43"/>
      <c r="R28" s="42"/>
      <c r="S28" s="43"/>
      <c r="T28" s="42"/>
      <c r="U28" s="43"/>
    </row>
    <row r="29" spans="1:23" x14ac:dyDescent="0.25">
      <c r="D29" s="16"/>
      <c r="E29" s="16"/>
      <c r="F29" s="14"/>
      <c r="G29" s="14"/>
      <c r="H29" s="14"/>
    </row>
    <row r="30" spans="1:23" x14ac:dyDescent="0.25">
      <c r="F30" s="5"/>
    </row>
    <row r="32" spans="1:23" ht="45" hidden="1" x14ac:dyDescent="0.25">
      <c r="A32" s="34" t="s">
        <v>24</v>
      </c>
      <c r="B32" s="35" t="s">
        <v>25</v>
      </c>
      <c r="C32" s="35" t="s">
        <v>19</v>
      </c>
      <c r="D32" s="35" t="s">
        <v>18</v>
      </c>
      <c r="E32" s="36" t="s">
        <v>26</v>
      </c>
      <c r="F32" s="36" t="s">
        <v>27</v>
      </c>
      <c r="G32" s="36" t="s">
        <v>28</v>
      </c>
      <c r="H32" s="35" t="s">
        <v>29</v>
      </c>
      <c r="I32" s="41"/>
      <c r="J32" s="39"/>
      <c r="K32" s="41"/>
      <c r="L32" s="41"/>
      <c r="M32" s="39"/>
      <c r="N32" s="39"/>
      <c r="O32" s="41"/>
      <c r="P32" s="39"/>
      <c r="Q32" s="41"/>
      <c r="R32" s="39"/>
      <c r="S32" s="41"/>
      <c r="T32" s="39"/>
      <c r="U32" s="41"/>
    </row>
    <row r="33" spans="1:23" hidden="1" x14ac:dyDescent="0.25">
      <c r="A33" t="s">
        <v>1</v>
      </c>
      <c r="C33">
        <v>100</v>
      </c>
      <c r="D33">
        <f>IF(C33-ROUND(($E$4-B33)/365,2)&lt;0,0,C33-ROUND(($E$4-B33)/365,2))</f>
        <v>0</v>
      </c>
      <c r="F33" s="8"/>
      <c r="G33" s="8">
        <f>SUM(E33:F33)</f>
        <v>0</v>
      </c>
      <c r="H33" s="8"/>
      <c r="I33" s="41"/>
      <c r="J33" s="39"/>
      <c r="K33" s="41"/>
      <c r="L33" s="41"/>
      <c r="M33" s="39"/>
      <c r="N33" s="39"/>
      <c r="O33" s="41"/>
      <c r="P33" s="39"/>
      <c r="Q33" s="41"/>
      <c r="R33" s="39"/>
      <c r="S33" s="41"/>
      <c r="T33" s="39"/>
      <c r="U33" s="41"/>
    </row>
    <row r="34" spans="1:23" hidden="1" x14ac:dyDescent="0.25">
      <c r="A34" t="s">
        <v>22</v>
      </c>
      <c r="C34">
        <v>50</v>
      </c>
      <c r="D34">
        <f t="shared" ref="D34:D49" si="9">IF(C34-ROUND(($E$4-B34)/365,2)&lt;0,0,C34-ROUND(($E$4-B34)/365,2))</f>
        <v>0</v>
      </c>
      <c r="F34" s="3"/>
      <c r="G34" s="8">
        <f t="shared" ref="G34:G42" si="10">SUM(E34:F34)</f>
        <v>0</v>
      </c>
      <c r="H34" s="8"/>
      <c r="I34" s="41"/>
      <c r="J34" s="39"/>
      <c r="K34" s="41"/>
      <c r="L34" s="41"/>
      <c r="M34" s="39"/>
      <c r="N34" s="39"/>
      <c r="O34" s="41"/>
      <c r="P34" s="39"/>
      <c r="Q34" s="41"/>
      <c r="R34" s="39"/>
      <c r="S34" s="41"/>
      <c r="T34" s="39"/>
      <c r="U34" s="41"/>
    </row>
    <row r="35" spans="1:23" hidden="1" x14ac:dyDescent="0.25">
      <c r="A35" t="s">
        <v>30</v>
      </c>
      <c r="B35" s="21"/>
      <c r="C35">
        <v>50</v>
      </c>
      <c r="D35">
        <f>IF(C35-ROUND(($E$4-B35)/365,2)&lt;0,0,C35-ROUND(($E$4-B35)/365,2))</f>
        <v>0</v>
      </c>
      <c r="F35" s="3"/>
      <c r="G35" s="8">
        <f t="shared" si="10"/>
        <v>0</v>
      </c>
      <c r="H35" s="8"/>
      <c r="I35" s="41"/>
      <c r="J35" s="39"/>
      <c r="K35" s="41"/>
      <c r="L35" s="41"/>
      <c r="M35" s="39"/>
      <c r="N35" s="39"/>
      <c r="O35" s="41"/>
      <c r="P35" s="39"/>
      <c r="Q35" s="41"/>
      <c r="R35" s="39"/>
      <c r="S35" s="41"/>
      <c r="T35" s="39"/>
      <c r="U35" s="41"/>
    </row>
    <row r="36" spans="1:23" hidden="1" x14ac:dyDescent="0.25">
      <c r="A36" t="s">
        <v>31</v>
      </c>
      <c r="B36" s="21"/>
      <c r="C36">
        <v>50</v>
      </c>
      <c r="D36">
        <f>IF(C36-ROUND(($E$4-B36)/365,2)&lt;0,0,C36-ROUND(($E$4-B36)/365,2))</f>
        <v>0</v>
      </c>
      <c r="F36" s="3"/>
      <c r="G36" s="8">
        <f t="shared" si="10"/>
        <v>0</v>
      </c>
      <c r="H36" s="8"/>
      <c r="I36" s="41"/>
      <c r="J36" s="39"/>
      <c r="K36" s="41"/>
      <c r="L36" s="41"/>
      <c r="M36" s="39"/>
      <c r="N36" s="39"/>
      <c r="O36" s="41"/>
      <c r="P36" s="39"/>
      <c r="Q36" s="41"/>
      <c r="R36" s="39"/>
      <c r="S36" s="41"/>
      <c r="T36" s="39"/>
      <c r="U36" s="41"/>
    </row>
    <row r="37" spans="1:23" hidden="1" x14ac:dyDescent="0.25">
      <c r="A37" t="s">
        <v>32</v>
      </c>
      <c r="B37" s="21"/>
      <c r="C37">
        <v>50</v>
      </c>
      <c r="D37">
        <f>IF(C37-ROUND(($E$4-B37)/365,2)&lt;0,0,C37-ROUND(($E$4-B37)/365,2))</f>
        <v>0</v>
      </c>
      <c r="F37" s="3"/>
      <c r="G37" s="8">
        <f t="shared" si="10"/>
        <v>0</v>
      </c>
      <c r="H37" s="8"/>
      <c r="I37" s="41"/>
      <c r="J37" s="39"/>
      <c r="K37" s="41"/>
      <c r="L37" s="41"/>
      <c r="M37" s="39"/>
      <c r="N37" s="39"/>
      <c r="O37" s="41"/>
      <c r="P37" s="39"/>
      <c r="Q37" s="41"/>
      <c r="R37" s="39"/>
      <c r="S37" s="41"/>
      <c r="T37" s="39"/>
      <c r="U37" s="41"/>
    </row>
    <row r="38" spans="1:23" hidden="1" x14ac:dyDescent="0.25">
      <c r="A38" t="s">
        <v>33</v>
      </c>
      <c r="B38" s="21"/>
      <c r="C38">
        <v>50</v>
      </c>
      <c r="D38">
        <f>IF(C38-ROUND(($E$4-B38)/365,2)&lt;0,0,C38-ROUND(($E$4-B38)/365,2))</f>
        <v>0</v>
      </c>
      <c r="F38" s="3"/>
      <c r="G38" s="8">
        <f t="shared" si="10"/>
        <v>0</v>
      </c>
      <c r="H38" s="8"/>
      <c r="I38" s="41"/>
      <c r="J38" s="39"/>
      <c r="K38" s="41"/>
      <c r="L38" s="41"/>
      <c r="M38" s="39"/>
      <c r="N38" s="39"/>
      <c r="O38" s="41"/>
      <c r="P38" s="39"/>
      <c r="Q38" s="41"/>
      <c r="R38" s="39"/>
      <c r="S38" s="41"/>
      <c r="T38" s="39"/>
      <c r="U38" s="41"/>
    </row>
    <row r="39" spans="1:23" hidden="1" x14ac:dyDescent="0.25">
      <c r="A39" t="s">
        <v>3</v>
      </c>
      <c r="C39">
        <v>50</v>
      </c>
      <c r="D39">
        <f t="shared" si="9"/>
        <v>0</v>
      </c>
      <c r="F39" s="3"/>
      <c r="G39" s="8">
        <f t="shared" si="10"/>
        <v>0</v>
      </c>
      <c r="H39" s="8"/>
      <c r="I39" s="41"/>
      <c r="J39" s="39"/>
      <c r="K39" s="41"/>
      <c r="L39" s="41"/>
      <c r="M39" s="39"/>
      <c r="N39" s="39"/>
      <c r="O39" s="41"/>
      <c r="P39" s="39"/>
      <c r="Q39" s="41"/>
      <c r="R39" s="39"/>
      <c r="S39" s="41"/>
      <c r="T39" s="39"/>
      <c r="U39" s="41"/>
    </row>
    <row r="40" spans="1:23" hidden="1" x14ac:dyDescent="0.25">
      <c r="A40" t="s">
        <v>34</v>
      </c>
      <c r="B40" s="21"/>
      <c r="C40">
        <v>50</v>
      </c>
      <c r="D40">
        <f t="shared" si="9"/>
        <v>0</v>
      </c>
      <c r="F40" s="3"/>
      <c r="G40" s="8">
        <f t="shared" si="10"/>
        <v>0</v>
      </c>
      <c r="H40" s="8"/>
      <c r="I40" s="41"/>
      <c r="J40" s="39"/>
      <c r="K40" s="41"/>
      <c r="L40" s="41"/>
      <c r="M40" s="39"/>
      <c r="N40" s="39"/>
      <c r="O40" s="41"/>
      <c r="P40" s="39"/>
      <c r="Q40" s="41"/>
      <c r="R40" s="39"/>
      <c r="S40" s="41"/>
      <c r="T40" s="39"/>
      <c r="U40" s="41"/>
    </row>
    <row r="41" spans="1:23" hidden="1" x14ac:dyDescent="0.25">
      <c r="A41" t="s">
        <v>35</v>
      </c>
      <c r="B41" s="21"/>
      <c r="C41">
        <v>30</v>
      </c>
      <c r="D41">
        <f>IF(C41-ROUND(($E$4-B41)/365,2)&lt;0,0,C41-ROUND(($E$4-B41)/365,2))</f>
        <v>0</v>
      </c>
      <c r="F41" s="3"/>
      <c r="G41" s="8">
        <f t="shared" si="10"/>
        <v>0</v>
      </c>
      <c r="H41" s="8"/>
      <c r="I41" s="41"/>
      <c r="J41" s="39"/>
      <c r="K41" s="41"/>
      <c r="L41" s="41"/>
      <c r="M41" s="39"/>
      <c r="N41" s="39"/>
      <c r="O41" s="41"/>
      <c r="P41" s="39"/>
      <c r="Q41" s="41"/>
      <c r="R41" s="39"/>
      <c r="S41" s="41"/>
      <c r="T41" s="39"/>
      <c r="U41" s="41"/>
    </row>
    <row r="42" spans="1:23" hidden="1" x14ac:dyDescent="0.25">
      <c r="A42" t="s">
        <v>4</v>
      </c>
      <c r="C42">
        <v>40</v>
      </c>
      <c r="D42">
        <f t="shared" si="9"/>
        <v>0</v>
      </c>
      <c r="F42" s="3"/>
      <c r="G42" s="8">
        <f t="shared" si="10"/>
        <v>0</v>
      </c>
      <c r="H42" s="8"/>
      <c r="I42" s="41"/>
      <c r="J42" s="39"/>
      <c r="K42" s="41"/>
      <c r="L42" s="41"/>
      <c r="M42" s="39"/>
      <c r="N42" s="39"/>
      <c r="O42" s="41"/>
      <c r="P42" s="39"/>
      <c r="Q42" s="41"/>
      <c r="R42" s="39"/>
      <c r="S42" s="41"/>
      <c r="T42" s="39"/>
      <c r="U42" s="41"/>
    </row>
    <row r="43" spans="1:23" x14ac:dyDescent="0.25">
      <c r="A43" s="44" t="s">
        <v>48</v>
      </c>
      <c r="B43" s="45">
        <v>42005</v>
      </c>
      <c r="C43" s="44">
        <v>15</v>
      </c>
      <c r="D43" s="46">
        <f t="shared" si="9"/>
        <v>11</v>
      </c>
      <c r="E43" s="47">
        <v>611537</v>
      </c>
      <c r="F43" s="50">
        <v>46877</v>
      </c>
      <c r="G43" s="62">
        <v>554861</v>
      </c>
      <c r="H43" s="62">
        <f>E43/C43*-1</f>
        <v>-40769.133333333331</v>
      </c>
      <c r="I43" s="49">
        <f>F43-H43</f>
        <v>87646.133333333331</v>
      </c>
      <c r="J43" s="39">
        <f>E43-I43</f>
        <v>523890.8666666667</v>
      </c>
      <c r="K43" s="42"/>
      <c r="L43" s="42"/>
      <c r="M43" s="39"/>
      <c r="N43" s="39"/>
      <c r="O43" s="42"/>
      <c r="P43" s="39"/>
      <c r="Q43" s="42"/>
      <c r="R43" s="39"/>
      <c r="S43" s="42"/>
      <c r="T43" s="39"/>
      <c r="U43" s="42"/>
    </row>
    <row r="44" spans="1:23" x14ac:dyDescent="0.25">
      <c r="A44" s="44" t="s">
        <v>49</v>
      </c>
      <c r="B44" s="45">
        <v>42005</v>
      </c>
      <c r="C44" s="44">
        <v>10</v>
      </c>
      <c r="D44" s="46">
        <f t="shared" si="9"/>
        <v>6</v>
      </c>
      <c r="E44" s="47">
        <v>504258</v>
      </c>
      <c r="F44" s="50">
        <v>55474</v>
      </c>
      <c r="G44" s="62">
        <v>458583</v>
      </c>
      <c r="H44" s="62">
        <f t="shared" ref="H44:H49" si="11">E44/C44*-1</f>
        <v>-50425.8</v>
      </c>
      <c r="I44" s="49">
        <f t="shared" ref="I44:I49" si="12">F44-H44</f>
        <v>105899.8</v>
      </c>
      <c r="J44" s="39">
        <f t="shared" ref="J44:J49" si="13">E44-I44</f>
        <v>398358.2</v>
      </c>
      <c r="K44" s="42"/>
      <c r="L44" s="42"/>
      <c r="M44" s="39"/>
      <c r="N44" s="39"/>
      <c r="O44" s="42"/>
      <c r="P44" s="39"/>
      <c r="Q44" s="42"/>
      <c r="R44" s="39"/>
      <c r="S44" s="42"/>
      <c r="T44" s="39"/>
      <c r="U44" s="42"/>
    </row>
    <row r="45" spans="1:23" x14ac:dyDescent="0.25">
      <c r="A45" s="44" t="s">
        <v>50</v>
      </c>
      <c r="B45" s="45">
        <v>42278</v>
      </c>
      <c r="C45" s="44">
        <v>10</v>
      </c>
      <c r="D45" s="46">
        <f t="shared" si="9"/>
        <v>6.75</v>
      </c>
      <c r="E45" s="47">
        <v>648475</v>
      </c>
      <c r="F45" s="50">
        <v>81192</v>
      </c>
      <c r="G45" s="62">
        <v>502436</v>
      </c>
      <c r="H45" s="62">
        <f t="shared" si="11"/>
        <v>-64847.5</v>
      </c>
      <c r="I45" s="49">
        <f t="shared" si="12"/>
        <v>146039.5</v>
      </c>
      <c r="J45" s="39">
        <f t="shared" si="13"/>
        <v>502435.5</v>
      </c>
      <c r="K45" s="42"/>
      <c r="L45" s="42"/>
      <c r="M45" s="39"/>
      <c r="N45" s="39"/>
      <c r="O45" s="42"/>
      <c r="P45" s="39"/>
      <c r="Q45" s="42"/>
      <c r="R45" s="39"/>
      <c r="S45" s="42"/>
      <c r="T45" s="39"/>
      <c r="U45" s="42"/>
    </row>
    <row r="46" spans="1:23" s="14" customFormat="1" x14ac:dyDescent="0.25">
      <c r="A46" s="59" t="s">
        <v>51</v>
      </c>
      <c r="B46" s="60">
        <v>38353</v>
      </c>
      <c r="C46" s="59">
        <v>25</v>
      </c>
      <c r="D46" s="61">
        <f t="shared" si="9"/>
        <v>10.99</v>
      </c>
      <c r="E46" s="50">
        <v>1245359</v>
      </c>
      <c r="F46" s="50">
        <v>398512</v>
      </c>
      <c r="G46" s="62">
        <v>846847</v>
      </c>
      <c r="H46" s="62">
        <f t="shared" si="11"/>
        <v>-49814.36</v>
      </c>
      <c r="I46" s="49">
        <f t="shared" si="12"/>
        <v>448326.36</v>
      </c>
      <c r="J46" s="39">
        <f t="shared" si="13"/>
        <v>797032.64</v>
      </c>
      <c r="K46" s="42"/>
      <c r="L46" s="42"/>
      <c r="M46" s="39"/>
      <c r="N46" s="39"/>
      <c r="O46" s="42"/>
      <c r="P46" s="39"/>
      <c r="Q46" s="42"/>
      <c r="R46" s="39"/>
      <c r="S46" s="42"/>
      <c r="T46" s="39"/>
      <c r="U46" s="42"/>
      <c r="V46" s="40"/>
      <c r="W46" s="40"/>
    </row>
    <row r="47" spans="1:23" x14ac:dyDescent="0.25">
      <c r="A47" s="44" t="s">
        <v>52</v>
      </c>
      <c r="B47" s="45">
        <v>43100</v>
      </c>
      <c r="C47" s="44">
        <v>10</v>
      </c>
      <c r="D47" s="46">
        <f t="shared" si="9"/>
        <v>9</v>
      </c>
      <c r="E47" s="50">
        <v>94708</v>
      </c>
      <c r="F47" s="47">
        <v>17479</v>
      </c>
      <c r="G47" s="48">
        <f t="shared" ref="G47:G49" si="14">E47+H47*(C47-D47)</f>
        <v>85237.2</v>
      </c>
      <c r="H47" s="48">
        <f t="shared" si="11"/>
        <v>-9470.7999999999993</v>
      </c>
      <c r="I47" s="49">
        <f t="shared" si="12"/>
        <v>26949.8</v>
      </c>
      <c r="J47" s="39">
        <f t="shared" si="13"/>
        <v>67758.2</v>
      </c>
      <c r="K47" s="42"/>
      <c r="L47" s="42"/>
      <c r="M47" s="39"/>
      <c r="N47" s="39"/>
      <c r="O47" s="42"/>
      <c r="P47" s="39"/>
      <c r="Q47" s="42"/>
      <c r="R47" s="39"/>
      <c r="S47" s="42"/>
      <c r="T47" s="39"/>
      <c r="U47" s="42"/>
    </row>
    <row r="48" spans="1:23" x14ac:dyDescent="0.25">
      <c r="A48" s="44" t="s">
        <v>53</v>
      </c>
      <c r="B48" s="45">
        <v>43009</v>
      </c>
      <c r="C48" s="44">
        <v>50</v>
      </c>
      <c r="D48" s="46">
        <f t="shared" si="9"/>
        <v>48.75</v>
      </c>
      <c r="E48" s="50">
        <v>2621293</v>
      </c>
      <c r="F48" s="47">
        <v>17475</v>
      </c>
      <c r="G48" s="48">
        <f t="shared" si="14"/>
        <v>2555760.6749999998</v>
      </c>
      <c r="H48" s="48">
        <f t="shared" si="11"/>
        <v>-52425.86</v>
      </c>
      <c r="I48" s="49">
        <f t="shared" si="12"/>
        <v>69900.86</v>
      </c>
      <c r="J48" s="39">
        <f t="shared" si="13"/>
        <v>2551392.14</v>
      </c>
      <c r="K48" s="42"/>
      <c r="L48" s="42"/>
      <c r="M48" s="39"/>
      <c r="N48" s="39"/>
      <c r="O48" s="42"/>
      <c r="P48" s="39"/>
      <c r="Q48" s="42"/>
      <c r="R48" s="39"/>
      <c r="S48" s="42"/>
      <c r="T48" s="39"/>
      <c r="U48" s="42"/>
    </row>
    <row r="49" spans="1:21" x14ac:dyDescent="0.25">
      <c r="A49" s="44" t="s">
        <v>54</v>
      </c>
      <c r="B49" s="45">
        <v>43281</v>
      </c>
      <c r="C49" s="44">
        <v>10</v>
      </c>
      <c r="D49" s="46">
        <f t="shared" si="9"/>
        <v>9.5</v>
      </c>
      <c r="E49" s="50">
        <v>154282</v>
      </c>
      <c r="F49" s="47">
        <v>5143</v>
      </c>
      <c r="G49" s="48">
        <f t="shared" si="14"/>
        <v>146567.9</v>
      </c>
      <c r="H49" s="48">
        <f t="shared" si="11"/>
        <v>-15428.2</v>
      </c>
      <c r="I49" s="49">
        <f t="shared" si="12"/>
        <v>20571.2</v>
      </c>
      <c r="J49" s="39">
        <f t="shared" si="13"/>
        <v>133710.79999999999</v>
      </c>
      <c r="K49" s="42"/>
      <c r="L49" s="42"/>
      <c r="M49" s="39"/>
      <c r="N49" s="39"/>
      <c r="O49" s="42"/>
      <c r="P49" s="39"/>
      <c r="Q49" s="42"/>
      <c r="R49" s="39"/>
      <c r="S49" s="42"/>
      <c r="T49" s="39"/>
      <c r="U49" s="42"/>
    </row>
    <row r="50" spans="1:21" x14ac:dyDescent="0.25">
      <c r="A50" s="51"/>
      <c r="B50" s="52"/>
      <c r="C50" s="52"/>
      <c r="D50" s="32"/>
      <c r="E50" s="32">
        <f t="shared" ref="E50:J50" si="15">SUM(E43:E49)</f>
        <v>5879912</v>
      </c>
      <c r="F50" s="23">
        <f t="shared" si="15"/>
        <v>622152</v>
      </c>
      <c r="G50" s="23">
        <f t="shared" si="15"/>
        <v>5150292.7750000004</v>
      </c>
      <c r="H50" s="23">
        <f t="shared" si="15"/>
        <v>-283181.65333333332</v>
      </c>
      <c r="I50" s="53">
        <f t="shared" si="15"/>
        <v>905333.65333333332</v>
      </c>
      <c r="J50" s="53">
        <f t="shared" si="15"/>
        <v>4974578.3466666667</v>
      </c>
    </row>
    <row r="51" spans="1:21" x14ac:dyDescent="0.25">
      <c r="A51" s="37"/>
      <c r="B51" s="38"/>
      <c r="C51" s="38"/>
    </row>
    <row r="52" spans="1:21" x14ac:dyDescent="0.25">
      <c r="A52" s="12"/>
      <c r="B52" s="11"/>
      <c r="C52" s="11"/>
    </row>
    <row r="53" spans="1:21" x14ac:dyDescent="0.25">
      <c r="A53" s="54" t="s">
        <v>55</v>
      </c>
      <c r="B53" s="55"/>
      <c r="C53" s="55"/>
      <c r="D53" s="56"/>
      <c r="E53" s="56">
        <f t="shared" ref="E53:J53" si="16">E28+E50</f>
        <v>49863137</v>
      </c>
      <c r="F53" s="57">
        <f t="shared" si="16"/>
        <v>2505327</v>
      </c>
      <c r="G53" s="57">
        <f t="shared" si="16"/>
        <v>47250342.774999999</v>
      </c>
      <c r="H53" s="57">
        <f t="shared" si="16"/>
        <v>-1415163.25</v>
      </c>
      <c r="I53" s="58">
        <f t="shared" si="16"/>
        <v>3920490.2499999995</v>
      </c>
      <c r="J53" s="58">
        <f t="shared" si="16"/>
        <v>45942646.75</v>
      </c>
    </row>
    <row r="58" spans="1:21" x14ac:dyDescent="0.25">
      <c r="A58" t="s">
        <v>57</v>
      </c>
    </row>
    <row r="59" spans="1:21" x14ac:dyDescent="0.25">
      <c r="B59" t="s">
        <v>59</v>
      </c>
    </row>
    <row r="60" spans="1:21" x14ac:dyDescent="0.25">
      <c r="B60" t="s">
        <v>56</v>
      </c>
    </row>
    <row r="62" spans="1:21" x14ac:dyDescent="0.25">
      <c r="B62" t="s">
        <v>58</v>
      </c>
    </row>
  </sheetData>
  <mergeCells count="4">
    <mergeCell ref="B6:C6"/>
    <mergeCell ref="B7:C7"/>
    <mergeCell ref="B8:C8"/>
    <mergeCell ref="B9:C9"/>
  </mergeCells>
  <pageMargins left="0.7" right="0.7" top="0.75" bottom="0.75" header="0.3" footer="0.3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2"/>
  <sheetViews>
    <sheetView showGridLines="0" workbookViewId="0">
      <selection activeCell="F58" sqref="F58"/>
    </sheetView>
  </sheetViews>
  <sheetFormatPr defaultRowHeight="15" x14ac:dyDescent="0.25"/>
  <cols>
    <col min="1" max="1" width="36.28515625" customWidth="1"/>
    <col min="2" max="2" width="14.28515625" bestFit="1" customWidth="1"/>
    <col min="3" max="3" width="12.28515625" bestFit="1" customWidth="1"/>
    <col min="4" max="4" width="11.28515625" style="3" customWidth="1"/>
    <col min="5" max="5" width="14.7109375" style="3" bestFit="1" customWidth="1"/>
    <col min="6" max="6" width="16.28515625" bestFit="1" customWidth="1"/>
    <col min="7" max="8" width="13.28515625" bestFit="1" customWidth="1"/>
    <col min="9" max="9" width="15.85546875" style="40" customWidth="1"/>
    <col min="10" max="10" width="15" style="40" customWidth="1"/>
    <col min="11" max="11" width="3" style="40" customWidth="1"/>
    <col min="12" max="12" width="14.85546875" style="40" customWidth="1"/>
    <col min="13" max="13" width="15.140625" style="40" customWidth="1"/>
    <col min="14" max="14" width="11.5703125" style="40" customWidth="1"/>
    <col min="15" max="15" width="13.28515625" style="40" bestFit="1" customWidth="1"/>
    <col min="16" max="16" width="12.42578125" style="40" customWidth="1"/>
    <col min="17" max="17" width="13.28515625" style="40" bestFit="1" customWidth="1"/>
    <col min="18" max="18" width="12.42578125" style="40" customWidth="1"/>
    <col min="19" max="19" width="15.5703125" style="40" customWidth="1"/>
    <col min="20" max="20" width="12.140625" style="40" customWidth="1"/>
    <col min="21" max="21" width="14.28515625" style="40" customWidth="1"/>
    <col min="22" max="23" width="9.140625" style="40"/>
  </cols>
  <sheetData>
    <row r="1" spans="1:21" x14ac:dyDescent="0.25">
      <c r="A1" t="s">
        <v>44</v>
      </c>
    </row>
    <row r="2" spans="1:21" s="40" customFormat="1" x14ac:dyDescent="0.25">
      <c r="A2" s="40" t="s">
        <v>95</v>
      </c>
      <c r="B2"/>
      <c r="C2"/>
      <c r="D2" s="3" t="s">
        <v>36</v>
      </c>
      <c r="E2" s="3" t="s">
        <v>37</v>
      </c>
      <c r="F2" t="s">
        <v>39</v>
      </c>
      <c r="G2" t="s">
        <v>38</v>
      </c>
      <c r="H2"/>
    </row>
    <row r="3" spans="1:21" s="40" customFormat="1" x14ac:dyDescent="0.25">
      <c r="A3" s="40" t="s">
        <v>100</v>
      </c>
      <c r="B3" s="14"/>
      <c r="C3" s="14"/>
      <c r="D3" s="33">
        <v>37188</v>
      </c>
      <c r="E3" s="33">
        <v>43465</v>
      </c>
      <c r="F3" s="2">
        <v>0.01</v>
      </c>
      <c r="G3" s="9">
        <f>(D3-E3)/365</f>
        <v>-17.197260273972603</v>
      </c>
      <c r="H3"/>
    </row>
    <row r="4" spans="1:21" s="40" customFormat="1" x14ac:dyDescent="0.25">
      <c r="A4" s="40" t="s">
        <v>97</v>
      </c>
      <c r="B4" s="14"/>
      <c r="C4" s="14"/>
      <c r="D4" s="147"/>
      <c r="E4" s="147"/>
      <c r="F4" s="2"/>
      <c r="G4" s="9"/>
      <c r="H4"/>
    </row>
    <row r="5" spans="1:21" s="40" customFormat="1" x14ac:dyDescent="0.25">
      <c r="A5"/>
      <c r="B5" s="14"/>
      <c r="C5" s="14"/>
      <c r="D5" s="16"/>
      <c r="E5" s="16"/>
      <c r="F5"/>
      <c r="G5"/>
      <c r="H5"/>
    </row>
    <row r="6" spans="1:21" s="40" customFormat="1" x14ac:dyDescent="0.25">
      <c r="A6" s="7" t="s">
        <v>20</v>
      </c>
      <c r="B6" s="260">
        <v>43983223</v>
      </c>
      <c r="C6" s="261"/>
      <c r="D6" s="16"/>
      <c r="E6" s="16"/>
      <c r="F6"/>
      <c r="G6"/>
      <c r="H6"/>
      <c r="L6" s="95"/>
      <c r="M6" s="95" t="s">
        <v>62</v>
      </c>
    </row>
    <row r="7" spans="1:21" s="40" customFormat="1" x14ac:dyDescent="0.25">
      <c r="A7" s="7" t="s">
        <v>21</v>
      </c>
      <c r="B7" s="260">
        <v>1883173</v>
      </c>
      <c r="C7" s="261"/>
      <c r="D7" s="16"/>
      <c r="E7" s="16"/>
      <c r="F7" s="8"/>
      <c r="G7"/>
      <c r="H7"/>
      <c r="L7" s="95"/>
      <c r="M7" s="95" t="s">
        <v>64</v>
      </c>
    </row>
    <row r="8" spans="1:21" s="40" customFormat="1" x14ac:dyDescent="0.25">
      <c r="A8" s="7" t="s">
        <v>17</v>
      </c>
      <c r="B8" s="262">
        <f>-ROUND(G3,2)</f>
        <v>17.2</v>
      </c>
      <c r="C8" s="263"/>
      <c r="D8" s="3"/>
      <c r="E8" s="10"/>
      <c r="F8" s="11"/>
      <c r="G8" s="12"/>
      <c r="H8"/>
      <c r="L8" s="95"/>
      <c r="M8" s="95" t="s">
        <v>63</v>
      </c>
    </row>
    <row r="9" spans="1:21" s="40" customFormat="1" hidden="1" x14ac:dyDescent="0.25">
      <c r="A9" s="13" t="s">
        <v>23</v>
      </c>
      <c r="B9" s="264">
        <v>0</v>
      </c>
      <c r="C9" s="265"/>
      <c r="D9" s="3"/>
      <c r="E9" s="10"/>
      <c r="F9" s="11"/>
      <c r="G9" s="12"/>
      <c r="H9"/>
      <c r="L9" s="95"/>
      <c r="M9" s="95"/>
    </row>
    <row r="10" spans="1:21" x14ac:dyDescent="0.25">
      <c r="L10" s="95"/>
      <c r="M10" s="95"/>
    </row>
    <row r="11" spans="1:21" s="40" customFormat="1" hidden="1" x14ac:dyDescent="0.25">
      <c r="A11"/>
      <c r="B11"/>
      <c r="C11"/>
      <c r="D11" s="3"/>
      <c r="E11" s="3"/>
      <c r="F11"/>
      <c r="G11"/>
      <c r="H11"/>
      <c r="L11" s="95"/>
      <c r="M11" s="95"/>
    </row>
    <row r="12" spans="1:21" x14ac:dyDescent="0.25">
      <c r="L12" s="95"/>
      <c r="M12" s="95"/>
    </row>
    <row r="13" spans="1:21" s="40" customFormat="1" ht="45" x14ac:dyDescent="0.25">
      <c r="A13" s="34" t="s">
        <v>24</v>
      </c>
      <c r="B13" s="85" t="s">
        <v>96</v>
      </c>
      <c r="C13" s="85" t="s">
        <v>19</v>
      </c>
      <c r="D13" s="85" t="s">
        <v>18</v>
      </c>
      <c r="E13" s="148" t="s">
        <v>26</v>
      </c>
      <c r="F13" s="148" t="s">
        <v>27</v>
      </c>
      <c r="G13" s="148" t="s">
        <v>43</v>
      </c>
      <c r="H13" s="85" t="s">
        <v>45</v>
      </c>
      <c r="I13" s="149" t="s">
        <v>46</v>
      </c>
      <c r="J13" s="150" t="s">
        <v>47</v>
      </c>
      <c r="K13" s="41"/>
      <c r="L13" s="98" t="s">
        <v>88</v>
      </c>
      <c r="M13" s="98" t="s">
        <v>90</v>
      </c>
      <c r="N13" s="39"/>
      <c r="O13" s="41"/>
      <c r="P13" s="39"/>
      <c r="Q13" s="41"/>
      <c r="R13" s="39"/>
      <c r="S13" s="41"/>
      <c r="T13" s="39"/>
      <c r="U13" s="41"/>
    </row>
    <row r="14" spans="1:21" s="40" customFormat="1" x14ac:dyDescent="0.25">
      <c r="A14" t="s">
        <v>1</v>
      </c>
      <c r="B14" s="70">
        <v>0.49199999999999999</v>
      </c>
      <c r="C14" s="151">
        <v>150</v>
      </c>
      <c r="D14" s="69">
        <f t="shared" ref="D14:D27" si="0">IF(C14-$B$8&lt;0,C14+C14-$B$8,C14-$B$8)</f>
        <v>132.80000000000001</v>
      </c>
      <c r="E14" s="152">
        <f t="shared" ref="E14:E27" si="1">ROUND(B14*$B$6,0)</f>
        <v>21639746</v>
      </c>
      <c r="F14" s="152">
        <f>ROUND(B14*$B$7,0)</f>
        <v>926521</v>
      </c>
      <c r="G14" s="153">
        <f>E14-F14</f>
        <v>20713225</v>
      </c>
      <c r="H14" s="153">
        <f>E14/C14*-1</f>
        <v>-144264.97333333333</v>
      </c>
      <c r="I14" s="154">
        <f>F14-H14</f>
        <v>1070785.9733333334</v>
      </c>
      <c r="J14" s="155">
        <f>E14-I14</f>
        <v>20568960.026666667</v>
      </c>
      <c r="K14" s="42"/>
      <c r="L14" s="93">
        <f t="shared" ref="L14:L27" si="2">H14*D14</f>
        <v>-19158388.458666667</v>
      </c>
      <c r="M14" s="94"/>
      <c r="N14" s="43"/>
      <c r="O14" s="42"/>
      <c r="P14" s="43"/>
      <c r="Q14" s="42"/>
      <c r="R14" s="43"/>
      <c r="S14" s="42"/>
      <c r="T14" s="43"/>
      <c r="U14" s="42"/>
    </row>
    <row r="15" spans="1:21" s="40" customFormat="1" x14ac:dyDescent="0.25">
      <c r="A15" t="s">
        <v>2</v>
      </c>
      <c r="B15" s="70">
        <v>1.2E-2</v>
      </c>
      <c r="C15" s="151">
        <v>100</v>
      </c>
      <c r="D15" s="69">
        <f t="shared" si="0"/>
        <v>82.8</v>
      </c>
      <c r="E15" s="152">
        <f t="shared" si="1"/>
        <v>527799</v>
      </c>
      <c r="F15" s="152">
        <f t="shared" ref="F15:F27" si="3">ROUND(B15*$B$7,0)</f>
        <v>22598</v>
      </c>
      <c r="G15" s="153">
        <f t="shared" ref="G15:G27" si="4">E15-F15</f>
        <v>505201</v>
      </c>
      <c r="H15" s="153">
        <f t="shared" ref="H15:H27" si="5">E15/C15*-1</f>
        <v>-5277.99</v>
      </c>
      <c r="I15" s="154">
        <f t="shared" ref="I15:I27" si="6">F15-H15</f>
        <v>27875.989999999998</v>
      </c>
      <c r="J15" s="155">
        <f t="shared" ref="J15:J27" si="7">E15-I15</f>
        <v>499923.01</v>
      </c>
      <c r="K15" s="42"/>
      <c r="L15" s="93">
        <f t="shared" si="2"/>
        <v>-437017.57199999999</v>
      </c>
      <c r="M15" s="94"/>
      <c r="N15" s="43"/>
      <c r="O15" s="42"/>
      <c r="P15" s="43"/>
      <c r="Q15" s="42"/>
      <c r="R15" s="43"/>
      <c r="S15" s="42"/>
      <c r="T15" s="43"/>
      <c r="U15" s="42"/>
    </row>
    <row r="16" spans="1:21" s="40" customFormat="1" x14ac:dyDescent="0.25">
      <c r="A16" t="s">
        <v>3</v>
      </c>
      <c r="B16" s="70">
        <v>8.0000000000000002E-3</v>
      </c>
      <c r="C16" s="69">
        <v>50</v>
      </c>
      <c r="D16" s="69">
        <f t="shared" si="0"/>
        <v>32.799999999999997</v>
      </c>
      <c r="E16" s="152">
        <f t="shared" si="1"/>
        <v>351866</v>
      </c>
      <c r="F16" s="152">
        <f t="shared" si="3"/>
        <v>15065</v>
      </c>
      <c r="G16" s="153">
        <f t="shared" si="4"/>
        <v>336801</v>
      </c>
      <c r="H16" s="153">
        <f t="shared" si="5"/>
        <v>-7037.32</v>
      </c>
      <c r="I16" s="154">
        <f t="shared" si="6"/>
        <v>22102.32</v>
      </c>
      <c r="J16" s="155">
        <f t="shared" si="7"/>
        <v>329763.68</v>
      </c>
      <c r="K16" s="42"/>
      <c r="L16" s="93">
        <f t="shared" si="2"/>
        <v>-230824.09599999996</v>
      </c>
      <c r="M16" s="94" t="s">
        <v>61</v>
      </c>
      <c r="N16" s="43"/>
      <c r="O16" s="42"/>
      <c r="P16" s="43"/>
      <c r="Q16" s="42"/>
      <c r="R16" s="43"/>
      <c r="S16" s="42"/>
      <c r="T16" s="43"/>
      <c r="U16" s="42"/>
    </row>
    <row r="17" spans="1:23" s="40" customFormat="1" x14ac:dyDescent="0.25">
      <c r="A17" t="s">
        <v>4</v>
      </c>
      <c r="B17" s="70">
        <v>0.2</v>
      </c>
      <c r="C17" s="69">
        <v>40</v>
      </c>
      <c r="D17" s="69">
        <f t="shared" si="0"/>
        <v>22.8</v>
      </c>
      <c r="E17" s="152">
        <f t="shared" si="1"/>
        <v>8796645</v>
      </c>
      <c r="F17" s="152">
        <f t="shared" si="3"/>
        <v>376635</v>
      </c>
      <c r="G17" s="153">
        <f t="shared" si="4"/>
        <v>8420010</v>
      </c>
      <c r="H17" s="153">
        <f t="shared" si="5"/>
        <v>-219916.125</v>
      </c>
      <c r="I17" s="154">
        <f t="shared" si="6"/>
        <v>596551.125</v>
      </c>
      <c r="J17" s="155">
        <f t="shared" si="7"/>
        <v>8200093.875</v>
      </c>
      <c r="K17" s="42"/>
      <c r="L17" s="93">
        <f t="shared" si="2"/>
        <v>-5014087.6500000004</v>
      </c>
      <c r="M17" s="94" t="s">
        <v>60</v>
      </c>
      <c r="N17" s="43"/>
      <c r="O17" s="42"/>
      <c r="P17" s="43"/>
      <c r="Q17" s="42"/>
      <c r="R17" s="43"/>
      <c r="S17" s="42"/>
      <c r="T17" s="43"/>
      <c r="U17" s="42"/>
    </row>
    <row r="18" spans="1:23" s="40" customFormat="1" x14ac:dyDescent="0.25">
      <c r="A18" t="s">
        <v>5</v>
      </c>
      <c r="B18" s="70">
        <v>0.16500000000000001</v>
      </c>
      <c r="C18" s="151">
        <v>25</v>
      </c>
      <c r="D18" s="69">
        <f t="shared" si="0"/>
        <v>7.8000000000000007</v>
      </c>
      <c r="E18" s="152">
        <f t="shared" si="1"/>
        <v>7257232</v>
      </c>
      <c r="F18" s="152">
        <f t="shared" si="3"/>
        <v>310724</v>
      </c>
      <c r="G18" s="153">
        <f t="shared" si="4"/>
        <v>6946508</v>
      </c>
      <c r="H18" s="153">
        <f t="shared" si="5"/>
        <v>-290289.28000000003</v>
      </c>
      <c r="I18" s="154">
        <f t="shared" si="6"/>
        <v>601013.28</v>
      </c>
      <c r="J18" s="155">
        <f t="shared" si="7"/>
        <v>6656218.7199999997</v>
      </c>
      <c r="K18" s="42"/>
      <c r="L18" s="93">
        <f t="shared" si="2"/>
        <v>-2264256.3840000005</v>
      </c>
      <c r="M18" s="94" t="s">
        <v>101</v>
      </c>
      <c r="N18" s="43"/>
      <c r="O18" s="42"/>
      <c r="P18" s="43"/>
      <c r="Q18" s="42"/>
      <c r="R18" s="43"/>
      <c r="S18" s="42"/>
      <c r="T18" s="43"/>
      <c r="U18" s="42"/>
    </row>
    <row r="19" spans="1:23" x14ac:dyDescent="0.25">
      <c r="A19" t="s">
        <v>6</v>
      </c>
      <c r="B19" s="70">
        <v>3.0000000000000001E-3</v>
      </c>
      <c r="C19" s="69">
        <v>50</v>
      </c>
      <c r="D19" s="69">
        <f>IF(C19-$B$8&lt;0,C19+C19-$B$8,C19-$B$8)</f>
        <v>32.799999999999997</v>
      </c>
      <c r="E19" s="152">
        <f t="shared" si="1"/>
        <v>131950</v>
      </c>
      <c r="F19" s="152">
        <f t="shared" si="3"/>
        <v>5650</v>
      </c>
      <c r="G19" s="153">
        <f t="shared" si="4"/>
        <v>126300</v>
      </c>
      <c r="H19" s="153">
        <f t="shared" si="5"/>
        <v>-2639</v>
      </c>
      <c r="I19" s="154">
        <f t="shared" si="6"/>
        <v>8289</v>
      </c>
      <c r="J19" s="155">
        <f t="shared" si="7"/>
        <v>123661</v>
      </c>
      <c r="K19" s="42"/>
      <c r="L19" s="93">
        <f t="shared" si="2"/>
        <v>-86559.2</v>
      </c>
      <c r="M19" s="94" t="s">
        <v>69</v>
      </c>
      <c r="N19" s="43"/>
      <c r="O19" s="42"/>
      <c r="P19" s="43"/>
      <c r="Q19" s="42"/>
      <c r="R19" s="43"/>
      <c r="S19" s="42"/>
      <c r="T19" s="43"/>
      <c r="U19" s="42"/>
    </row>
    <row r="20" spans="1:23" x14ac:dyDescent="0.25">
      <c r="A20" t="s">
        <v>7</v>
      </c>
      <c r="B20" s="70">
        <v>2E-3</v>
      </c>
      <c r="C20" s="69">
        <v>50</v>
      </c>
      <c r="D20" s="69">
        <f t="shared" si="0"/>
        <v>32.799999999999997</v>
      </c>
      <c r="E20" s="152">
        <f t="shared" si="1"/>
        <v>87966</v>
      </c>
      <c r="F20" s="152">
        <f t="shared" si="3"/>
        <v>3766</v>
      </c>
      <c r="G20" s="153">
        <f t="shared" si="4"/>
        <v>84200</v>
      </c>
      <c r="H20" s="153">
        <f t="shared" si="5"/>
        <v>-1759.32</v>
      </c>
      <c r="I20" s="154">
        <f t="shared" si="6"/>
        <v>5525.32</v>
      </c>
      <c r="J20" s="155">
        <f t="shared" si="7"/>
        <v>82440.679999999993</v>
      </c>
      <c r="K20" s="42"/>
      <c r="L20" s="93">
        <f t="shared" si="2"/>
        <v>-57705.695999999996</v>
      </c>
      <c r="M20" s="94" t="s">
        <v>65</v>
      </c>
      <c r="N20" s="43"/>
      <c r="O20" s="42"/>
      <c r="P20" s="43"/>
      <c r="Q20" s="42"/>
      <c r="R20" s="43"/>
      <c r="S20" s="42"/>
      <c r="T20" s="43"/>
      <c r="U20" s="42"/>
    </row>
    <row r="21" spans="1:23" hidden="1" x14ac:dyDescent="0.25">
      <c r="A21" s="31" t="s">
        <v>8</v>
      </c>
      <c r="B21" s="70">
        <v>0</v>
      </c>
      <c r="C21" s="69">
        <v>30</v>
      </c>
      <c r="D21" s="69">
        <f t="shared" si="0"/>
        <v>12.8</v>
      </c>
      <c r="E21" s="152">
        <f t="shared" si="1"/>
        <v>0</v>
      </c>
      <c r="F21" s="152">
        <f t="shared" si="3"/>
        <v>0</v>
      </c>
      <c r="G21" s="153">
        <f t="shared" si="4"/>
        <v>0</v>
      </c>
      <c r="H21" s="153">
        <f t="shared" si="5"/>
        <v>0</v>
      </c>
      <c r="I21" s="154">
        <f t="shared" si="6"/>
        <v>0</v>
      </c>
      <c r="J21" s="155">
        <f t="shared" si="7"/>
        <v>0</v>
      </c>
      <c r="K21" s="42"/>
      <c r="L21" s="93">
        <f t="shared" si="2"/>
        <v>0</v>
      </c>
      <c r="M21" s="94"/>
      <c r="N21" s="43"/>
      <c r="O21" s="42"/>
      <c r="P21" s="43"/>
      <c r="Q21" s="42"/>
      <c r="R21" s="43"/>
      <c r="S21" s="42"/>
      <c r="T21" s="43"/>
      <c r="U21" s="42"/>
    </row>
    <row r="22" spans="1:23" x14ac:dyDescent="0.25">
      <c r="A22" t="s">
        <v>8</v>
      </c>
      <c r="B22" s="70">
        <v>3.5000000000000003E-2</v>
      </c>
      <c r="C22" s="69">
        <v>30</v>
      </c>
      <c r="D22" s="69">
        <f t="shared" si="0"/>
        <v>12.8</v>
      </c>
      <c r="E22" s="152">
        <f t="shared" si="1"/>
        <v>1539413</v>
      </c>
      <c r="F22" s="152">
        <f t="shared" si="3"/>
        <v>65911</v>
      </c>
      <c r="G22" s="153">
        <f t="shared" si="4"/>
        <v>1473502</v>
      </c>
      <c r="H22" s="153">
        <f t="shared" si="5"/>
        <v>-51313.76666666667</v>
      </c>
      <c r="I22" s="154">
        <f t="shared" si="6"/>
        <v>117224.76666666666</v>
      </c>
      <c r="J22" s="155">
        <f t="shared" si="7"/>
        <v>1422188.2333333334</v>
      </c>
      <c r="K22" s="42"/>
      <c r="L22" s="93">
        <f t="shared" si="2"/>
        <v>-656816.21333333338</v>
      </c>
      <c r="M22" s="94" t="s">
        <v>101</v>
      </c>
      <c r="N22" s="43"/>
      <c r="O22" s="42"/>
      <c r="P22" s="43"/>
      <c r="Q22" s="42"/>
      <c r="R22" s="43"/>
      <c r="S22" s="42"/>
      <c r="T22" s="43"/>
      <c r="U22" s="42"/>
    </row>
    <row r="23" spans="1:23" s="14" customFormat="1" x14ac:dyDescent="0.25">
      <c r="A23" t="s">
        <v>9</v>
      </c>
      <c r="B23" s="70">
        <v>0.05</v>
      </c>
      <c r="C23" s="69">
        <v>40</v>
      </c>
      <c r="D23" s="69">
        <f t="shared" si="0"/>
        <v>22.8</v>
      </c>
      <c r="E23" s="152">
        <f t="shared" si="1"/>
        <v>2199161</v>
      </c>
      <c r="F23" s="152">
        <f t="shared" si="3"/>
        <v>94159</v>
      </c>
      <c r="G23" s="153">
        <f t="shared" si="4"/>
        <v>2105002</v>
      </c>
      <c r="H23" s="153">
        <f t="shared" si="5"/>
        <v>-54979.025000000001</v>
      </c>
      <c r="I23" s="154">
        <f t="shared" si="6"/>
        <v>149138.02499999999</v>
      </c>
      <c r="J23" s="155">
        <f t="shared" si="7"/>
        <v>2050022.9750000001</v>
      </c>
      <c r="K23" s="42"/>
      <c r="L23" s="93">
        <f t="shared" si="2"/>
        <v>-1253521.77</v>
      </c>
      <c r="M23" s="94" t="s">
        <v>66</v>
      </c>
      <c r="N23" s="43"/>
      <c r="O23" s="42"/>
      <c r="P23" s="43"/>
      <c r="Q23" s="42"/>
      <c r="R23" s="43"/>
      <c r="S23" s="42"/>
      <c r="T23" s="43"/>
      <c r="U23" s="42"/>
      <c r="V23" s="40"/>
      <c r="W23" s="40"/>
    </row>
    <row r="24" spans="1:23" x14ac:dyDescent="0.25">
      <c r="A24" s="14" t="s">
        <v>10</v>
      </c>
      <c r="B24" s="72">
        <v>3.0000000000000001E-3</v>
      </c>
      <c r="C24" s="71">
        <v>25</v>
      </c>
      <c r="D24" s="69">
        <f t="shared" si="0"/>
        <v>7.8000000000000007</v>
      </c>
      <c r="E24" s="156">
        <f t="shared" si="1"/>
        <v>131950</v>
      </c>
      <c r="F24" s="152">
        <f t="shared" si="3"/>
        <v>5650</v>
      </c>
      <c r="G24" s="153">
        <f t="shared" si="4"/>
        <v>126300</v>
      </c>
      <c r="H24" s="153">
        <f t="shared" si="5"/>
        <v>-5278</v>
      </c>
      <c r="I24" s="154">
        <f t="shared" si="6"/>
        <v>10928</v>
      </c>
      <c r="J24" s="155">
        <f t="shared" si="7"/>
        <v>121022</v>
      </c>
      <c r="K24" s="42"/>
      <c r="L24" s="93">
        <f t="shared" si="2"/>
        <v>-41168.400000000001</v>
      </c>
      <c r="M24" s="94" t="s">
        <v>70</v>
      </c>
      <c r="N24" s="43"/>
      <c r="O24" s="42"/>
      <c r="P24" s="43"/>
      <c r="Q24" s="42"/>
      <c r="R24" s="43"/>
      <c r="S24" s="42"/>
      <c r="T24" s="43"/>
      <c r="U24" s="42"/>
    </row>
    <row r="25" spans="1:23" x14ac:dyDescent="0.25">
      <c r="A25" t="s">
        <v>11</v>
      </c>
      <c r="B25" s="70">
        <v>3.0000000000000001E-3</v>
      </c>
      <c r="C25" s="151">
        <v>40</v>
      </c>
      <c r="D25" s="69">
        <f t="shared" si="0"/>
        <v>22.8</v>
      </c>
      <c r="E25" s="152">
        <f t="shared" si="1"/>
        <v>131950</v>
      </c>
      <c r="F25" s="152">
        <f t="shared" si="3"/>
        <v>5650</v>
      </c>
      <c r="G25" s="153">
        <f t="shared" si="4"/>
        <v>126300</v>
      </c>
      <c r="H25" s="153">
        <f t="shared" si="5"/>
        <v>-3298.75</v>
      </c>
      <c r="I25" s="154">
        <f t="shared" si="6"/>
        <v>8948.75</v>
      </c>
      <c r="J25" s="155">
        <f t="shared" si="7"/>
        <v>123001.25</v>
      </c>
      <c r="K25" s="42"/>
      <c r="L25" s="93">
        <f t="shared" si="2"/>
        <v>-75211.5</v>
      </c>
      <c r="M25" s="94" t="s">
        <v>67</v>
      </c>
      <c r="N25" s="43"/>
      <c r="O25" s="42"/>
      <c r="P25" s="43"/>
      <c r="Q25" s="42"/>
      <c r="R25" s="43"/>
      <c r="S25" s="42"/>
      <c r="T25" s="43"/>
      <c r="U25" s="42"/>
    </row>
    <row r="26" spans="1:23" x14ac:dyDescent="0.25">
      <c r="A26" t="s">
        <v>12</v>
      </c>
      <c r="B26" s="70">
        <v>2.4E-2</v>
      </c>
      <c r="C26" s="69">
        <v>15</v>
      </c>
      <c r="D26" s="69">
        <f t="shared" si="0"/>
        <v>12.8</v>
      </c>
      <c r="E26" s="152">
        <f t="shared" si="1"/>
        <v>1055597</v>
      </c>
      <c r="F26" s="152">
        <f t="shared" si="3"/>
        <v>45196</v>
      </c>
      <c r="G26" s="153">
        <f t="shared" si="4"/>
        <v>1010401</v>
      </c>
      <c r="H26" s="153">
        <f t="shared" si="5"/>
        <v>-70373.133333333331</v>
      </c>
      <c r="I26" s="154">
        <f t="shared" si="6"/>
        <v>115569.13333333333</v>
      </c>
      <c r="J26" s="155">
        <f t="shared" si="7"/>
        <v>940027.8666666667</v>
      </c>
      <c r="K26" s="42"/>
      <c r="L26" s="93">
        <f t="shared" si="2"/>
        <v>-900776.10666666669</v>
      </c>
      <c r="M26" s="94" t="s">
        <v>68</v>
      </c>
      <c r="N26" s="43"/>
      <c r="O26" s="42"/>
      <c r="P26" s="43"/>
      <c r="Q26" s="42"/>
      <c r="R26" s="43"/>
      <c r="S26" s="42"/>
      <c r="T26" s="43"/>
      <c r="U26" s="42"/>
    </row>
    <row r="27" spans="1:23" x14ac:dyDescent="0.25">
      <c r="A27" s="17" t="s">
        <v>13</v>
      </c>
      <c r="B27" s="74">
        <v>3.0000000000000001E-3</v>
      </c>
      <c r="C27" s="73">
        <v>50</v>
      </c>
      <c r="D27" s="73">
        <f t="shared" si="0"/>
        <v>32.799999999999997</v>
      </c>
      <c r="E27" s="157">
        <f t="shared" si="1"/>
        <v>131950</v>
      </c>
      <c r="F27" s="157">
        <f t="shared" si="3"/>
        <v>5650</v>
      </c>
      <c r="G27" s="158">
        <f t="shared" si="4"/>
        <v>126300</v>
      </c>
      <c r="H27" s="153">
        <f t="shared" si="5"/>
        <v>-2639</v>
      </c>
      <c r="I27" s="159">
        <f t="shared" si="6"/>
        <v>8289</v>
      </c>
      <c r="J27" s="157">
        <f t="shared" si="7"/>
        <v>123661</v>
      </c>
      <c r="K27" s="42"/>
      <c r="L27" s="93">
        <f t="shared" si="2"/>
        <v>-86559.2</v>
      </c>
      <c r="M27" s="94"/>
      <c r="N27" s="43"/>
      <c r="O27" s="42"/>
      <c r="P27" s="43"/>
      <c r="Q27" s="42"/>
      <c r="R27" s="43"/>
      <c r="S27" s="42"/>
      <c r="T27" s="43"/>
      <c r="U27" s="42"/>
    </row>
    <row r="28" spans="1:23" x14ac:dyDescent="0.25">
      <c r="B28" s="76">
        <f>SUM(B14:B27)</f>
        <v>1</v>
      </c>
      <c r="C28" s="75">
        <f>E28/H28</f>
        <v>-51.198908131607553</v>
      </c>
      <c r="D28" s="77">
        <f>J28/H28</f>
        <v>-48.006788208142645</v>
      </c>
      <c r="E28" s="156">
        <f t="shared" ref="E28:J28" si="8">SUM(E14:E27)</f>
        <v>43983225</v>
      </c>
      <c r="F28" s="156">
        <f t="shared" si="8"/>
        <v>1883175</v>
      </c>
      <c r="G28" s="156">
        <f t="shared" si="8"/>
        <v>42100050</v>
      </c>
      <c r="H28" s="160">
        <f t="shared" si="8"/>
        <v>-859065.68333333335</v>
      </c>
      <c r="I28" s="155">
        <f t="shared" si="8"/>
        <v>2742240.6833333331</v>
      </c>
      <c r="J28" s="154">
        <f t="shared" si="8"/>
        <v>41240984.31666667</v>
      </c>
      <c r="K28" s="43"/>
      <c r="L28" s="94">
        <f>SUM(L14:L27)</f>
        <v>-30262892.246666666</v>
      </c>
      <c r="M28" s="93"/>
      <c r="N28" s="42"/>
      <c r="O28" s="43"/>
      <c r="P28" s="42"/>
      <c r="Q28" s="43"/>
      <c r="R28" s="42"/>
      <c r="S28" s="43"/>
      <c r="T28" s="42"/>
      <c r="U28" s="43"/>
    </row>
    <row r="29" spans="1:23" x14ac:dyDescent="0.25">
      <c r="B29" s="69"/>
      <c r="C29" s="69"/>
      <c r="D29" s="156"/>
      <c r="E29" s="156"/>
      <c r="F29" s="71"/>
      <c r="G29" s="71"/>
      <c r="H29" s="71"/>
      <c r="I29" s="161"/>
      <c r="J29" s="161"/>
    </row>
    <row r="30" spans="1:23" x14ac:dyDescent="0.25">
      <c r="B30" s="69"/>
      <c r="C30" s="69"/>
      <c r="D30" s="152"/>
      <c r="E30" s="152"/>
      <c r="F30" s="162"/>
      <c r="G30" s="69"/>
      <c r="H30" s="69"/>
      <c r="I30" s="161"/>
      <c r="J30" s="161"/>
    </row>
    <row r="31" spans="1:23" x14ac:dyDescent="0.25">
      <c r="B31" s="69"/>
      <c r="C31" s="69"/>
      <c r="D31" s="152"/>
      <c r="E31" s="152"/>
      <c r="F31" s="69"/>
      <c r="G31" s="69"/>
      <c r="H31" s="69"/>
      <c r="I31" s="161"/>
      <c r="J31" s="161"/>
    </row>
    <row r="32" spans="1:23" ht="45" hidden="1" x14ac:dyDescent="0.25">
      <c r="A32" s="34" t="s">
        <v>24</v>
      </c>
      <c r="B32" s="68" t="s">
        <v>25</v>
      </c>
      <c r="C32" s="68" t="s">
        <v>19</v>
      </c>
      <c r="D32" s="68" t="s">
        <v>18</v>
      </c>
      <c r="E32" s="86" t="s">
        <v>26</v>
      </c>
      <c r="F32" s="86" t="s">
        <v>27</v>
      </c>
      <c r="G32" s="86" t="s">
        <v>28</v>
      </c>
      <c r="H32" s="68" t="s">
        <v>29</v>
      </c>
      <c r="I32" s="163"/>
      <c r="J32" s="146"/>
      <c r="K32" s="41"/>
      <c r="L32" s="39"/>
      <c r="M32" s="41"/>
      <c r="N32" s="39"/>
      <c r="O32" s="41"/>
      <c r="P32" s="39"/>
      <c r="Q32" s="41"/>
      <c r="R32" s="39"/>
      <c r="S32" s="41"/>
      <c r="T32" s="39"/>
      <c r="U32" s="41"/>
    </row>
    <row r="33" spans="1:23" hidden="1" x14ac:dyDescent="0.25">
      <c r="A33" t="s">
        <v>1</v>
      </c>
      <c r="B33" s="69"/>
      <c r="C33" s="69">
        <v>100</v>
      </c>
      <c r="D33" s="69">
        <f>IF(C33-ROUND(($E$3-B33)/365,2)&lt;0,0,C33-ROUND(($E$3-B33)/365,2))</f>
        <v>0</v>
      </c>
      <c r="E33" s="152"/>
      <c r="F33" s="153"/>
      <c r="G33" s="153">
        <f>SUM(E33:F33)</f>
        <v>0</v>
      </c>
      <c r="H33" s="153"/>
      <c r="I33" s="163"/>
      <c r="J33" s="146"/>
      <c r="K33" s="41"/>
      <c r="L33" s="39"/>
      <c r="M33" s="41"/>
      <c r="N33" s="39"/>
      <c r="O33" s="41"/>
      <c r="P33" s="39"/>
      <c r="Q33" s="41"/>
      <c r="R33" s="39"/>
      <c r="S33" s="41"/>
      <c r="T33" s="39"/>
      <c r="U33" s="41"/>
    </row>
    <row r="34" spans="1:23" hidden="1" x14ac:dyDescent="0.25">
      <c r="A34" t="s">
        <v>22</v>
      </c>
      <c r="B34" s="69"/>
      <c r="C34" s="69">
        <v>50</v>
      </c>
      <c r="D34" s="69">
        <f t="shared" ref="D34:D49" si="9">IF(C34-ROUND(($E$3-B34)/365,2)&lt;0,0,C34-ROUND(($E$3-B34)/365,2))</f>
        <v>0</v>
      </c>
      <c r="E34" s="152"/>
      <c r="F34" s="152"/>
      <c r="G34" s="153">
        <f t="shared" ref="G34:G42" si="10">SUM(E34:F34)</f>
        <v>0</v>
      </c>
      <c r="H34" s="153"/>
      <c r="I34" s="163"/>
      <c r="J34" s="146"/>
      <c r="K34" s="41"/>
      <c r="L34" s="39"/>
      <c r="M34" s="41"/>
      <c r="N34" s="39"/>
      <c r="O34" s="41"/>
      <c r="P34" s="39"/>
      <c r="Q34" s="41"/>
      <c r="R34" s="39"/>
      <c r="S34" s="41"/>
      <c r="T34" s="39"/>
      <c r="U34" s="41"/>
    </row>
    <row r="35" spans="1:23" hidden="1" x14ac:dyDescent="0.25">
      <c r="A35" t="s">
        <v>30</v>
      </c>
      <c r="B35" s="164"/>
      <c r="C35" s="69">
        <v>50</v>
      </c>
      <c r="D35" s="69">
        <f>IF(C35-ROUND(($E$3-B35)/365,2)&lt;0,0,C35-ROUND(($E$3-B35)/365,2))</f>
        <v>0</v>
      </c>
      <c r="E35" s="152"/>
      <c r="F35" s="152"/>
      <c r="G35" s="153">
        <f t="shared" si="10"/>
        <v>0</v>
      </c>
      <c r="H35" s="153"/>
      <c r="I35" s="163"/>
      <c r="J35" s="146"/>
      <c r="K35" s="41"/>
      <c r="L35" s="39"/>
      <c r="M35" s="41"/>
      <c r="N35" s="39"/>
      <c r="O35" s="41"/>
      <c r="P35" s="39"/>
      <c r="Q35" s="41"/>
      <c r="R35" s="39"/>
      <c r="S35" s="41"/>
      <c r="T35" s="39"/>
      <c r="U35" s="41"/>
    </row>
    <row r="36" spans="1:23" hidden="1" x14ac:dyDescent="0.25">
      <c r="A36" t="s">
        <v>31</v>
      </c>
      <c r="B36" s="164"/>
      <c r="C36" s="69">
        <v>50</v>
      </c>
      <c r="D36" s="69">
        <f>IF(C36-ROUND(($E$3-B36)/365,2)&lt;0,0,C36-ROUND(($E$3-B36)/365,2))</f>
        <v>0</v>
      </c>
      <c r="E36" s="152"/>
      <c r="F36" s="152"/>
      <c r="G36" s="153">
        <f t="shared" si="10"/>
        <v>0</v>
      </c>
      <c r="H36" s="153"/>
      <c r="I36" s="163"/>
      <c r="J36" s="146"/>
      <c r="K36" s="41"/>
      <c r="L36" s="39"/>
      <c r="M36" s="41"/>
      <c r="N36" s="39"/>
      <c r="O36" s="41"/>
      <c r="P36" s="39"/>
      <c r="Q36" s="41"/>
      <c r="R36" s="39"/>
      <c r="S36" s="41"/>
      <c r="T36" s="39"/>
      <c r="U36" s="41"/>
    </row>
    <row r="37" spans="1:23" hidden="1" x14ac:dyDescent="0.25">
      <c r="A37" t="s">
        <v>32</v>
      </c>
      <c r="B37" s="164"/>
      <c r="C37" s="69">
        <v>50</v>
      </c>
      <c r="D37" s="69">
        <f>IF(C37-ROUND(($E$3-B37)/365,2)&lt;0,0,C37-ROUND(($E$3-B37)/365,2))</f>
        <v>0</v>
      </c>
      <c r="E37" s="152"/>
      <c r="F37" s="152"/>
      <c r="G37" s="153">
        <f t="shared" si="10"/>
        <v>0</v>
      </c>
      <c r="H37" s="153"/>
      <c r="I37" s="163"/>
      <c r="J37" s="146"/>
      <c r="K37" s="41"/>
      <c r="L37" s="39"/>
      <c r="M37" s="41"/>
      <c r="N37" s="39"/>
      <c r="O37" s="41"/>
      <c r="P37" s="39"/>
      <c r="Q37" s="41"/>
      <c r="R37" s="39"/>
      <c r="S37" s="41"/>
      <c r="T37" s="39"/>
      <c r="U37" s="41"/>
    </row>
    <row r="38" spans="1:23" hidden="1" x14ac:dyDescent="0.25">
      <c r="A38" t="s">
        <v>33</v>
      </c>
      <c r="B38" s="164"/>
      <c r="C38" s="69">
        <v>50</v>
      </c>
      <c r="D38" s="69">
        <f>IF(C38-ROUND(($E$3-B38)/365,2)&lt;0,0,C38-ROUND(($E$3-B38)/365,2))</f>
        <v>0</v>
      </c>
      <c r="E38" s="152"/>
      <c r="F38" s="152"/>
      <c r="G38" s="153">
        <f t="shared" si="10"/>
        <v>0</v>
      </c>
      <c r="H38" s="153"/>
      <c r="I38" s="163"/>
      <c r="J38" s="146"/>
      <c r="K38" s="41"/>
      <c r="L38" s="39"/>
      <c r="M38" s="41"/>
      <c r="N38" s="39"/>
      <c r="O38" s="41"/>
      <c r="P38" s="39"/>
      <c r="Q38" s="41"/>
      <c r="R38" s="39"/>
      <c r="S38" s="41"/>
      <c r="T38" s="39"/>
      <c r="U38" s="41"/>
    </row>
    <row r="39" spans="1:23" hidden="1" x14ac:dyDescent="0.25">
      <c r="A39" t="s">
        <v>3</v>
      </c>
      <c r="B39" s="69"/>
      <c r="C39" s="69">
        <v>50</v>
      </c>
      <c r="D39" s="69">
        <f t="shared" si="9"/>
        <v>0</v>
      </c>
      <c r="E39" s="152"/>
      <c r="F39" s="152"/>
      <c r="G39" s="153">
        <f t="shared" si="10"/>
        <v>0</v>
      </c>
      <c r="H39" s="153"/>
      <c r="I39" s="163"/>
      <c r="J39" s="146"/>
      <c r="K39" s="41"/>
      <c r="L39" s="39"/>
      <c r="M39" s="41"/>
      <c r="N39" s="39"/>
      <c r="O39" s="41"/>
      <c r="P39" s="39"/>
      <c r="Q39" s="41"/>
      <c r="R39" s="39"/>
      <c r="S39" s="41"/>
      <c r="T39" s="39"/>
      <c r="U39" s="41"/>
    </row>
    <row r="40" spans="1:23" hidden="1" x14ac:dyDescent="0.25">
      <c r="A40" t="s">
        <v>34</v>
      </c>
      <c r="B40" s="164"/>
      <c r="C40" s="69">
        <v>50</v>
      </c>
      <c r="D40" s="69">
        <f t="shared" si="9"/>
        <v>0</v>
      </c>
      <c r="E40" s="152"/>
      <c r="F40" s="152"/>
      <c r="G40" s="153">
        <f t="shared" si="10"/>
        <v>0</v>
      </c>
      <c r="H40" s="153"/>
      <c r="I40" s="163"/>
      <c r="J40" s="146"/>
      <c r="K40" s="41"/>
      <c r="L40" s="39"/>
      <c r="M40" s="41"/>
      <c r="N40" s="39"/>
      <c r="O40" s="41"/>
      <c r="P40" s="39"/>
      <c r="Q40" s="41"/>
      <c r="R40" s="39"/>
      <c r="S40" s="41"/>
      <c r="T40" s="39"/>
      <c r="U40" s="41"/>
    </row>
    <row r="41" spans="1:23" hidden="1" x14ac:dyDescent="0.25">
      <c r="A41" t="s">
        <v>35</v>
      </c>
      <c r="B41" s="164"/>
      <c r="C41" s="69">
        <v>30</v>
      </c>
      <c r="D41" s="69">
        <f>IF(C41-ROUND(($E$3-B41)/365,2)&lt;0,0,C41-ROUND(($E$3-B41)/365,2))</f>
        <v>0</v>
      </c>
      <c r="E41" s="152"/>
      <c r="F41" s="152"/>
      <c r="G41" s="153">
        <f t="shared" si="10"/>
        <v>0</v>
      </c>
      <c r="H41" s="153"/>
      <c r="I41" s="163"/>
      <c r="J41" s="146"/>
      <c r="K41" s="41"/>
      <c r="L41" s="39"/>
      <c r="M41" s="41"/>
      <c r="N41" s="39"/>
      <c r="O41" s="41"/>
      <c r="P41" s="39"/>
      <c r="Q41" s="41"/>
      <c r="R41" s="39"/>
      <c r="S41" s="41"/>
      <c r="T41" s="39"/>
      <c r="U41" s="41"/>
    </row>
    <row r="42" spans="1:23" hidden="1" x14ac:dyDescent="0.25">
      <c r="A42" t="s">
        <v>4</v>
      </c>
      <c r="B42" s="69"/>
      <c r="C42" s="69">
        <v>40</v>
      </c>
      <c r="D42" s="69">
        <f t="shared" si="9"/>
        <v>0</v>
      </c>
      <c r="E42" s="152"/>
      <c r="F42" s="152"/>
      <c r="G42" s="153">
        <f t="shared" si="10"/>
        <v>0</v>
      </c>
      <c r="H42" s="153"/>
      <c r="I42" s="163"/>
      <c r="J42" s="146"/>
      <c r="K42" s="41"/>
      <c r="L42" s="39"/>
      <c r="M42" s="41"/>
      <c r="N42" s="39"/>
      <c r="O42" s="41"/>
      <c r="P42" s="39"/>
      <c r="Q42" s="41"/>
      <c r="R42" s="39"/>
      <c r="S42" s="41"/>
      <c r="T42" s="39"/>
      <c r="U42" s="41"/>
    </row>
    <row r="43" spans="1:23" x14ac:dyDescent="0.25">
      <c r="A43" s="44" t="s">
        <v>48</v>
      </c>
      <c r="B43" s="165">
        <v>42005</v>
      </c>
      <c r="C43" s="166">
        <v>15</v>
      </c>
      <c r="D43" s="167">
        <f t="shared" si="9"/>
        <v>11</v>
      </c>
      <c r="E43" s="168">
        <v>611537</v>
      </c>
      <c r="F43" s="169">
        <v>46877</v>
      </c>
      <c r="G43" s="170">
        <v>554861</v>
      </c>
      <c r="H43" s="170">
        <f>E43/C43*-1</f>
        <v>-40769.133333333331</v>
      </c>
      <c r="I43" s="171">
        <f>F43-H43</f>
        <v>87646.133333333331</v>
      </c>
      <c r="J43" s="146">
        <f>E43-I43</f>
        <v>523890.8666666667</v>
      </c>
      <c r="K43" s="42"/>
      <c r="L43" s="39"/>
      <c r="M43" s="42"/>
      <c r="N43" s="39"/>
      <c r="O43" s="42"/>
      <c r="P43" s="39"/>
      <c r="Q43" s="42"/>
      <c r="R43" s="39"/>
      <c r="S43" s="42"/>
      <c r="T43" s="39"/>
      <c r="U43" s="42"/>
    </row>
    <row r="44" spans="1:23" x14ac:dyDescent="0.25">
      <c r="A44" s="44" t="s">
        <v>49</v>
      </c>
      <c r="B44" s="165">
        <v>42005</v>
      </c>
      <c r="C44" s="166">
        <v>10</v>
      </c>
      <c r="D44" s="167">
        <f t="shared" si="9"/>
        <v>6</v>
      </c>
      <c r="E44" s="168">
        <v>504258</v>
      </c>
      <c r="F44" s="169">
        <v>55474</v>
      </c>
      <c r="G44" s="170">
        <v>458583</v>
      </c>
      <c r="H44" s="170">
        <f t="shared" ref="H44:H49" si="11">E44/C44*-1</f>
        <v>-50425.8</v>
      </c>
      <c r="I44" s="171">
        <f t="shared" ref="I44:I49" si="12">F44-H44</f>
        <v>105899.8</v>
      </c>
      <c r="J44" s="146">
        <f t="shared" ref="J44:J49" si="13">E44-I44</f>
        <v>398358.2</v>
      </c>
      <c r="K44" s="42"/>
      <c r="L44" s="39"/>
      <c r="M44" s="42"/>
      <c r="N44" s="39"/>
      <c r="O44" s="42"/>
      <c r="P44" s="39"/>
      <c r="Q44" s="42"/>
      <c r="R44" s="39"/>
      <c r="S44" s="42"/>
      <c r="T44" s="39"/>
      <c r="U44" s="42"/>
    </row>
    <row r="45" spans="1:23" x14ac:dyDescent="0.25">
      <c r="A45" s="44" t="s">
        <v>50</v>
      </c>
      <c r="B45" s="165">
        <v>42278</v>
      </c>
      <c r="C45" s="166">
        <v>10</v>
      </c>
      <c r="D45" s="167">
        <f t="shared" si="9"/>
        <v>6.75</v>
      </c>
      <c r="E45" s="168">
        <v>648475</v>
      </c>
      <c r="F45" s="169">
        <v>81192</v>
      </c>
      <c r="G45" s="170">
        <v>502436</v>
      </c>
      <c r="H45" s="170">
        <f t="shared" si="11"/>
        <v>-64847.5</v>
      </c>
      <c r="I45" s="171">
        <f t="shared" si="12"/>
        <v>146039.5</v>
      </c>
      <c r="J45" s="146">
        <f t="shared" si="13"/>
        <v>502435.5</v>
      </c>
      <c r="K45" s="42"/>
      <c r="L45" s="39"/>
      <c r="M45" s="42"/>
      <c r="N45" s="39"/>
      <c r="O45" s="42"/>
      <c r="P45" s="39"/>
      <c r="Q45" s="42"/>
      <c r="R45" s="39"/>
      <c r="S45" s="42"/>
      <c r="T45" s="39"/>
      <c r="U45" s="42"/>
    </row>
    <row r="46" spans="1:23" s="14" customFormat="1" x14ac:dyDescent="0.25">
      <c r="A46" s="59" t="s">
        <v>51</v>
      </c>
      <c r="B46" s="172">
        <v>38353</v>
      </c>
      <c r="C46" s="173">
        <v>25</v>
      </c>
      <c r="D46" s="174">
        <f t="shared" si="9"/>
        <v>10.99</v>
      </c>
      <c r="E46" s="169">
        <v>1245359</v>
      </c>
      <c r="F46" s="169">
        <v>398512</v>
      </c>
      <c r="G46" s="170">
        <v>846847</v>
      </c>
      <c r="H46" s="170">
        <f t="shared" si="11"/>
        <v>-49814.36</v>
      </c>
      <c r="I46" s="171">
        <f t="shared" si="12"/>
        <v>448326.36</v>
      </c>
      <c r="J46" s="146">
        <f t="shared" si="13"/>
        <v>797032.64</v>
      </c>
      <c r="K46" s="42"/>
      <c r="L46" s="39"/>
      <c r="M46" s="42"/>
      <c r="N46" s="39"/>
      <c r="O46" s="42"/>
      <c r="P46" s="39"/>
      <c r="Q46" s="42"/>
      <c r="R46" s="39"/>
      <c r="S46" s="42"/>
      <c r="T46" s="39"/>
      <c r="U46" s="42"/>
      <c r="V46" s="40"/>
      <c r="W46" s="40"/>
    </row>
    <row r="47" spans="1:23" x14ac:dyDescent="0.25">
      <c r="A47" s="44" t="s">
        <v>52</v>
      </c>
      <c r="B47" s="165">
        <v>43100</v>
      </c>
      <c r="C47" s="166">
        <v>10</v>
      </c>
      <c r="D47" s="167">
        <f t="shared" si="9"/>
        <v>9</v>
      </c>
      <c r="E47" s="169">
        <v>94708</v>
      </c>
      <c r="F47" s="168">
        <v>17479</v>
      </c>
      <c r="G47" s="175">
        <f t="shared" ref="G47:G49" si="14">E47+H47*(C47-D47)</f>
        <v>85237.2</v>
      </c>
      <c r="H47" s="175">
        <f t="shared" si="11"/>
        <v>-9470.7999999999993</v>
      </c>
      <c r="I47" s="171">
        <f t="shared" si="12"/>
        <v>26949.8</v>
      </c>
      <c r="J47" s="146">
        <f t="shared" si="13"/>
        <v>67758.2</v>
      </c>
      <c r="K47" s="42"/>
      <c r="L47" s="39"/>
      <c r="M47" s="42"/>
      <c r="N47" s="39"/>
      <c r="O47" s="42"/>
      <c r="P47" s="39"/>
      <c r="Q47" s="42"/>
      <c r="R47" s="39"/>
      <c r="S47" s="42"/>
      <c r="T47" s="39"/>
      <c r="U47" s="42"/>
    </row>
    <row r="48" spans="1:23" x14ac:dyDescent="0.25">
      <c r="A48" s="44" t="s">
        <v>53</v>
      </c>
      <c r="B48" s="165">
        <v>43009</v>
      </c>
      <c r="C48" s="166">
        <v>50</v>
      </c>
      <c r="D48" s="167">
        <f t="shared" si="9"/>
        <v>48.75</v>
      </c>
      <c r="E48" s="169">
        <v>2621293</v>
      </c>
      <c r="F48" s="168">
        <v>17475</v>
      </c>
      <c r="G48" s="175">
        <f t="shared" si="14"/>
        <v>2555760.6749999998</v>
      </c>
      <c r="H48" s="175">
        <f t="shared" si="11"/>
        <v>-52425.86</v>
      </c>
      <c r="I48" s="171">
        <f t="shared" si="12"/>
        <v>69900.86</v>
      </c>
      <c r="J48" s="146">
        <f t="shared" si="13"/>
        <v>2551392.14</v>
      </c>
      <c r="K48" s="42"/>
      <c r="L48" s="39"/>
      <c r="M48" s="42"/>
      <c r="N48" s="39"/>
      <c r="O48" s="42"/>
      <c r="P48" s="39"/>
      <c r="Q48" s="42"/>
      <c r="R48" s="39"/>
      <c r="S48" s="42"/>
      <c r="T48" s="39"/>
      <c r="U48" s="42"/>
    </row>
    <row r="49" spans="1:21" x14ac:dyDescent="0.25">
      <c r="A49" s="44" t="s">
        <v>54</v>
      </c>
      <c r="B49" s="165">
        <v>43281</v>
      </c>
      <c r="C49" s="166">
        <v>10</v>
      </c>
      <c r="D49" s="167">
        <f t="shared" si="9"/>
        <v>9.5</v>
      </c>
      <c r="E49" s="169">
        <v>154282</v>
      </c>
      <c r="F49" s="168">
        <v>5143</v>
      </c>
      <c r="G49" s="175">
        <f t="shared" si="14"/>
        <v>146567.9</v>
      </c>
      <c r="H49" s="175">
        <f t="shared" si="11"/>
        <v>-15428.2</v>
      </c>
      <c r="I49" s="171">
        <f t="shared" si="12"/>
        <v>20571.2</v>
      </c>
      <c r="J49" s="146">
        <f t="shared" si="13"/>
        <v>133710.79999999999</v>
      </c>
      <c r="K49" s="42"/>
      <c r="L49" s="39"/>
      <c r="M49" s="42"/>
      <c r="N49" s="39"/>
      <c r="O49" s="42"/>
      <c r="P49" s="39"/>
      <c r="Q49" s="42"/>
      <c r="R49" s="39"/>
      <c r="S49" s="42"/>
      <c r="T49" s="39"/>
      <c r="U49" s="42"/>
    </row>
    <row r="50" spans="1:21" x14ac:dyDescent="0.25">
      <c r="A50" s="51"/>
      <c r="B50" s="176"/>
      <c r="C50" s="176"/>
      <c r="D50" s="177"/>
      <c r="E50" s="177">
        <f t="shared" ref="E50:J50" si="15">SUM(E43:E49)</f>
        <v>5879912</v>
      </c>
      <c r="F50" s="160">
        <f t="shared" si="15"/>
        <v>622152</v>
      </c>
      <c r="G50" s="160">
        <f t="shared" si="15"/>
        <v>5150292.7750000004</v>
      </c>
      <c r="H50" s="160">
        <f t="shared" si="15"/>
        <v>-283181.65333333332</v>
      </c>
      <c r="I50" s="178">
        <f t="shared" si="15"/>
        <v>905333.65333333332</v>
      </c>
      <c r="J50" s="178">
        <f t="shared" si="15"/>
        <v>4974578.3466666667</v>
      </c>
    </row>
    <row r="51" spans="1:21" s="40" customFormat="1" x14ac:dyDescent="0.25">
      <c r="A51" s="37"/>
      <c r="B51" s="38"/>
      <c r="C51" s="38"/>
      <c r="D51" s="3"/>
      <c r="E51" s="3"/>
      <c r="F51"/>
      <c r="G51"/>
      <c r="H51"/>
    </row>
    <row r="52" spans="1:21" s="40" customFormat="1" x14ac:dyDescent="0.25">
      <c r="A52" s="12"/>
      <c r="B52" s="11"/>
      <c r="C52" s="11"/>
      <c r="D52" s="3"/>
      <c r="E52" s="3"/>
      <c r="F52"/>
      <c r="G52"/>
      <c r="H52"/>
    </row>
    <row r="53" spans="1:21" s="40" customFormat="1" x14ac:dyDescent="0.25">
      <c r="A53" s="54" t="s">
        <v>55</v>
      </c>
      <c r="B53" s="55"/>
      <c r="C53" s="55"/>
      <c r="D53" s="56"/>
      <c r="E53" s="56">
        <f t="shared" ref="E53:J53" si="16">E28+E50</f>
        <v>49863137</v>
      </c>
      <c r="F53" s="57">
        <f t="shared" si="16"/>
        <v>2505327</v>
      </c>
      <c r="G53" s="57">
        <f t="shared" si="16"/>
        <v>47250342.774999999</v>
      </c>
      <c r="H53" s="57">
        <f t="shared" si="16"/>
        <v>-1142247.3366666667</v>
      </c>
      <c r="I53" s="58">
        <f t="shared" si="16"/>
        <v>3647574.3366666664</v>
      </c>
      <c r="J53" s="58">
        <f t="shared" si="16"/>
        <v>46215562.663333334</v>
      </c>
    </row>
    <row r="58" spans="1:21" s="40" customFormat="1" x14ac:dyDescent="0.25">
      <c r="A58" t="s">
        <v>57</v>
      </c>
      <c r="B58"/>
      <c r="C58"/>
      <c r="D58" s="3"/>
      <c r="E58" s="3"/>
      <c r="F58"/>
      <c r="G58"/>
      <c r="H58"/>
    </row>
    <row r="59" spans="1:21" s="40" customFormat="1" x14ac:dyDescent="0.25">
      <c r="A59"/>
      <c r="B59" t="s">
        <v>59</v>
      </c>
      <c r="C59"/>
      <c r="D59" s="3"/>
      <c r="E59" s="3"/>
      <c r="F59"/>
      <c r="G59"/>
      <c r="H59"/>
    </row>
    <row r="60" spans="1:21" s="40" customFormat="1" x14ac:dyDescent="0.25">
      <c r="A60"/>
      <c r="B60" t="s">
        <v>56</v>
      </c>
      <c r="C60"/>
      <c r="D60" s="3"/>
      <c r="E60" s="3"/>
      <c r="F60"/>
      <c r="G60"/>
      <c r="H60"/>
    </row>
    <row r="62" spans="1:21" s="40" customFormat="1" x14ac:dyDescent="0.25">
      <c r="A62"/>
      <c r="B62" t="s">
        <v>58</v>
      </c>
      <c r="C62"/>
      <c r="D62" s="3"/>
      <c r="E62" s="3"/>
      <c r="F62"/>
      <c r="G62"/>
      <c r="H62"/>
    </row>
  </sheetData>
  <mergeCells count="4">
    <mergeCell ref="B6:C6"/>
    <mergeCell ref="B7:C7"/>
    <mergeCell ref="B8:C8"/>
    <mergeCell ref="B9:C9"/>
  </mergeCells>
  <pageMargins left="0.7" right="0.7" top="0.75" bottom="0.75" header="0.3" footer="0.3"/>
  <pageSetup paperSize="9" scale="6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L33" sqref="L33"/>
    </sheetView>
  </sheetViews>
  <sheetFormatPr defaultRowHeight="15" x14ac:dyDescent="0.25"/>
  <cols>
    <col min="1" max="1" width="27.85546875" customWidth="1"/>
    <col min="2" max="2" width="8.85546875" customWidth="1"/>
    <col min="3" max="3" width="10.28515625" customWidth="1"/>
    <col min="4" max="5" width="8.85546875" customWidth="1"/>
  </cols>
  <sheetData>
    <row r="1" spans="1:7" x14ac:dyDescent="0.25">
      <c r="A1" t="s">
        <v>15</v>
      </c>
    </row>
    <row r="3" spans="1:7" x14ac:dyDescent="0.25">
      <c r="B3" s="266"/>
      <c r="C3" s="266"/>
    </row>
    <row r="8" spans="1:7" x14ac:dyDescent="0.25">
      <c r="A8" t="s">
        <v>40</v>
      </c>
      <c r="B8" s="267" t="s">
        <v>40</v>
      </c>
      <c r="C8" s="268"/>
      <c r="D8" s="267" t="s">
        <v>41</v>
      </c>
      <c r="E8" s="268"/>
      <c r="F8" s="267" t="s">
        <v>42</v>
      </c>
      <c r="G8" s="268"/>
    </row>
    <row r="9" spans="1:7" ht="60" x14ac:dyDescent="0.25">
      <c r="A9" s="1" t="s">
        <v>0</v>
      </c>
      <c r="B9" s="26" t="s">
        <v>14</v>
      </c>
      <c r="C9" s="24" t="s">
        <v>16</v>
      </c>
      <c r="D9" s="26" t="s">
        <v>14</v>
      </c>
      <c r="E9" s="24" t="s">
        <v>16</v>
      </c>
      <c r="F9" s="26" t="s">
        <v>14</v>
      </c>
      <c r="G9" s="24" t="s">
        <v>16</v>
      </c>
    </row>
    <row r="10" spans="1:7" x14ac:dyDescent="0.25">
      <c r="A10" t="s">
        <v>1</v>
      </c>
      <c r="B10" s="29">
        <v>0.3</v>
      </c>
      <c r="C10" s="25">
        <v>100</v>
      </c>
      <c r="D10" s="29">
        <v>0.42099999999999999</v>
      </c>
      <c r="E10" s="25">
        <v>100</v>
      </c>
      <c r="F10" s="29">
        <v>0.49199999999999999</v>
      </c>
      <c r="G10" s="25">
        <v>100</v>
      </c>
    </row>
    <row r="11" spans="1:7" x14ac:dyDescent="0.25">
      <c r="A11" t="s">
        <v>22</v>
      </c>
      <c r="B11" s="29">
        <v>0.19</v>
      </c>
      <c r="C11" s="25">
        <v>50</v>
      </c>
      <c r="D11" s="29">
        <v>0.182</v>
      </c>
      <c r="E11" s="25">
        <v>75</v>
      </c>
      <c r="F11" s="29">
        <v>1.2E-2</v>
      </c>
      <c r="G11" s="25">
        <v>50</v>
      </c>
    </row>
    <row r="12" spans="1:7" x14ac:dyDescent="0.25">
      <c r="A12" t="s">
        <v>3</v>
      </c>
      <c r="B12" s="29">
        <v>0.12</v>
      </c>
      <c r="C12" s="25">
        <v>50</v>
      </c>
      <c r="D12" s="29">
        <v>0.115</v>
      </c>
      <c r="E12" s="25">
        <v>60</v>
      </c>
      <c r="F12" s="29">
        <v>8.0000000000000002E-3</v>
      </c>
      <c r="G12" s="25">
        <v>50</v>
      </c>
    </row>
    <row r="13" spans="1:7" x14ac:dyDescent="0.25">
      <c r="A13" t="s">
        <v>4</v>
      </c>
      <c r="B13" s="29">
        <v>0.08</v>
      </c>
      <c r="C13" s="25">
        <v>40</v>
      </c>
      <c r="D13" s="29">
        <v>5.8999999999999997E-2</v>
      </c>
      <c r="E13" s="25">
        <v>40</v>
      </c>
      <c r="F13" s="29">
        <v>0.2</v>
      </c>
      <c r="G13" s="25">
        <v>40</v>
      </c>
    </row>
    <row r="14" spans="1:7" x14ac:dyDescent="0.25">
      <c r="A14" t="s">
        <v>5</v>
      </c>
      <c r="B14" s="29">
        <v>0</v>
      </c>
      <c r="C14" s="25">
        <v>15</v>
      </c>
      <c r="D14" s="29">
        <v>5.1999999999999998E-2</v>
      </c>
      <c r="E14" s="25">
        <v>15</v>
      </c>
      <c r="F14" s="29">
        <v>0.16500000000000001</v>
      </c>
      <c r="G14" s="25">
        <v>15</v>
      </c>
    </row>
    <row r="15" spans="1:7" x14ac:dyDescent="0.25">
      <c r="A15" t="s">
        <v>6</v>
      </c>
      <c r="B15" s="29">
        <v>0.05</v>
      </c>
      <c r="C15" s="25">
        <v>50</v>
      </c>
      <c r="D15" s="29">
        <v>4.8000000000000001E-2</v>
      </c>
      <c r="E15" s="25">
        <v>50</v>
      </c>
      <c r="F15" s="29">
        <v>3.0000000000000001E-3</v>
      </c>
      <c r="G15" s="25">
        <v>50</v>
      </c>
    </row>
    <row r="16" spans="1:7" x14ac:dyDescent="0.25">
      <c r="A16" t="s">
        <v>7</v>
      </c>
      <c r="B16" s="29">
        <v>0.03</v>
      </c>
      <c r="C16" s="25">
        <v>50</v>
      </c>
      <c r="D16" s="29">
        <v>2.9000000000000001E-2</v>
      </c>
      <c r="E16" s="25">
        <v>50</v>
      </c>
      <c r="F16" s="29">
        <v>2E-3</v>
      </c>
      <c r="G16" s="25">
        <v>50</v>
      </c>
    </row>
    <row r="17" spans="1:7" x14ac:dyDescent="0.25">
      <c r="A17" t="s">
        <v>8</v>
      </c>
      <c r="B17" s="29">
        <v>0.03</v>
      </c>
      <c r="C17" s="25">
        <v>30</v>
      </c>
      <c r="D17" s="29">
        <v>1.0999999999999999E-2</v>
      </c>
      <c r="E17" s="25">
        <v>30</v>
      </c>
      <c r="F17" s="29">
        <v>3.5000000000000003E-2</v>
      </c>
      <c r="G17" s="25">
        <v>30</v>
      </c>
    </row>
    <row r="18" spans="1:7" x14ac:dyDescent="0.25">
      <c r="A18" t="s">
        <v>9</v>
      </c>
      <c r="B18" s="29">
        <v>0.02</v>
      </c>
      <c r="C18" s="25">
        <v>40</v>
      </c>
      <c r="D18" s="29">
        <v>1.4999999999999999E-2</v>
      </c>
      <c r="E18" s="25">
        <v>40</v>
      </c>
      <c r="F18" s="29">
        <v>0.05</v>
      </c>
      <c r="G18" s="25">
        <v>40</v>
      </c>
    </row>
    <row r="19" spans="1:7" x14ac:dyDescent="0.25">
      <c r="A19" t="s">
        <v>10</v>
      </c>
      <c r="B19" s="29">
        <v>0.02</v>
      </c>
      <c r="C19" s="25">
        <v>25</v>
      </c>
      <c r="D19" s="29">
        <v>1E-3</v>
      </c>
      <c r="E19" s="25">
        <v>30</v>
      </c>
      <c r="F19" s="29">
        <v>3.0000000000000001E-3</v>
      </c>
      <c r="G19" s="25">
        <v>25</v>
      </c>
    </row>
    <row r="20" spans="1:7" x14ac:dyDescent="0.25">
      <c r="A20" t="s">
        <v>11</v>
      </c>
      <c r="B20" s="29">
        <v>0.02</v>
      </c>
      <c r="C20" s="25">
        <v>25</v>
      </c>
      <c r="D20" s="29">
        <v>1E-3</v>
      </c>
      <c r="E20" s="25">
        <v>30</v>
      </c>
      <c r="F20" s="29">
        <v>3.0000000000000001E-3</v>
      </c>
      <c r="G20" s="25">
        <v>25</v>
      </c>
    </row>
    <row r="21" spans="1:7" x14ac:dyDescent="0.25">
      <c r="A21" t="s">
        <v>12</v>
      </c>
      <c r="B21" s="29">
        <v>0.01</v>
      </c>
      <c r="C21" s="25">
        <v>15</v>
      </c>
      <c r="D21" s="29">
        <v>7.0000000000000001E-3</v>
      </c>
      <c r="E21" s="25">
        <v>15</v>
      </c>
      <c r="F21" s="29">
        <v>2.4E-2</v>
      </c>
      <c r="G21" s="25">
        <v>15</v>
      </c>
    </row>
    <row r="22" spans="1:7" x14ac:dyDescent="0.25">
      <c r="A22" t="s">
        <v>13</v>
      </c>
      <c r="B22" s="29">
        <f>1-SUM(B10:B21)</f>
        <v>0.12999999999999989</v>
      </c>
      <c r="C22" s="25">
        <v>50</v>
      </c>
      <c r="D22" s="29">
        <f>1-SUM(D10:D21)</f>
        <v>5.8999999999999941E-2</v>
      </c>
      <c r="E22" s="25">
        <v>50</v>
      </c>
      <c r="F22" s="29">
        <f>1-SUM(F10:F21)</f>
        <v>2.9999999999998916E-3</v>
      </c>
      <c r="G22" s="25">
        <v>50</v>
      </c>
    </row>
    <row r="23" spans="1:7" x14ac:dyDescent="0.25">
      <c r="B23" s="30">
        <f>SUM(B10:B22)</f>
        <v>1</v>
      </c>
      <c r="C23" s="25"/>
      <c r="D23" s="30">
        <f>SUM(D10:D22)</f>
        <v>1</v>
      </c>
      <c r="E23" s="25"/>
      <c r="F23" s="27">
        <f>SUM(F10:F22)</f>
        <v>1</v>
      </c>
      <c r="G23" s="25"/>
    </row>
    <row r="25" spans="1:7" x14ac:dyDescent="0.25">
      <c r="B25" s="28"/>
    </row>
  </sheetData>
  <mergeCells count="4">
    <mergeCell ref="B3:C3"/>
    <mergeCell ref="B8:C8"/>
    <mergeCell ref="D8:E8"/>
    <mergeCell ref="F8: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7</vt:i4>
      </vt:variant>
    </vt:vector>
  </HeadingPairs>
  <TitlesOfParts>
    <vt:vector size="15" baseType="lpstr">
      <vt:lpstr>3.Just. avskrivningsmodell</vt:lpstr>
      <vt:lpstr>4.Just. avskrivningsmodell (2)</vt:lpstr>
      <vt:lpstr>4.Just. avskrivningsmodell  (2</vt:lpstr>
      <vt:lpstr>5.Just. avskrivningsmodell (3)</vt:lpstr>
      <vt:lpstr>5.Just. avskrivning.mod. EL v6</vt:lpstr>
      <vt:lpstr>1.Avskrivningar med kommentarer</vt:lpstr>
      <vt:lpstr>2.Just. avskrivningar</vt:lpstr>
      <vt:lpstr>0.SABO riktvärden</vt:lpstr>
      <vt:lpstr>'1.Avskrivningar med kommentarer'!Utskriftsområde</vt:lpstr>
      <vt:lpstr>'2.Just. avskrivningar'!Utskriftsområde</vt:lpstr>
      <vt:lpstr>'3.Just. avskrivningsmodell'!Utskriftsområde</vt:lpstr>
      <vt:lpstr>'4.Just. avskrivningsmodell  (2'!Utskriftsområde</vt:lpstr>
      <vt:lpstr>'4.Just. avskrivningsmodell (2)'!Utskriftsområde</vt:lpstr>
      <vt:lpstr>'5.Just. avskrivning.mod. EL v6'!Utskriftsområde</vt:lpstr>
      <vt:lpstr>'5.Just. avskrivningsmodell (3)'!Utskriftsområde</vt:lpstr>
    </vt:vector>
  </TitlesOfParts>
  <Company>Finnhammars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Lindquist</dc:creator>
  <cp:lastModifiedBy>Erica Lohall</cp:lastModifiedBy>
  <cp:lastPrinted>2018-12-14T14:03:52Z</cp:lastPrinted>
  <dcterms:created xsi:type="dcterms:W3CDTF">2014-10-26T16:45:10Z</dcterms:created>
  <dcterms:modified xsi:type="dcterms:W3CDTF">2019-05-29T09:52:18Z</dcterms:modified>
</cp:coreProperties>
</file>