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4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6148e7562e21a231/Dokument/"/>
    </mc:Choice>
  </mc:AlternateContent>
  <xr:revisionPtr revIDLastSave="0" documentId="8_{06E35584-EBD9-453A-AC89-0342CE1DF6A7}" xr6:coauthVersionLast="43" xr6:coauthVersionMax="43" xr10:uidLastSave="{00000000-0000-0000-0000-000000000000}"/>
  <bookViews>
    <workbookView xWindow="1275" yWindow="-120" windowWidth="27645" windowHeight="16440" tabRatio="564" activeTab="1" xr2:uid="{424D0682-E1B0-4F5D-81A8-527AD25D1AA9}"/>
  </bookViews>
  <sheets>
    <sheet name="3.Just. avskrivningsmodell" sheetId="12" r:id="rId1"/>
    <sheet name="4.Just. avskrivningsmodell (2)" sheetId="9" r:id="rId2"/>
    <sheet name="5.Just. avskrivningsmodell (3)" sheetId="13" r:id="rId3"/>
    <sheet name="1.Avskrivningar med kommentarer" sheetId="6" r:id="rId4"/>
    <sheet name="2.Just. avskrivningar" sheetId="7" r:id="rId5"/>
    <sheet name="0.SABO riktvärden" sheetId="1" r:id="rId6"/>
  </sheets>
  <definedNames>
    <definedName name="_xlnm.Print_Area" localSheetId="3">'1.Avskrivningar med kommentarer'!$A:$L</definedName>
    <definedName name="_xlnm.Print_Area" localSheetId="4">'2.Just. avskrivningar'!$A:$M</definedName>
    <definedName name="_xlnm.Print_Area" localSheetId="0">'3.Just. avskrivningsmodell'!$A:$L</definedName>
    <definedName name="_xlnm.Print_Area" localSheetId="1">'4.Just. avskrivningsmodell (2)'!$A:$L</definedName>
    <definedName name="_xlnm.Print_Area" localSheetId="2">'5.Just. avskrivningsmodell (3)'!$A:$L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9" i="13" l="1"/>
  <c r="E29" i="13"/>
  <c r="E28" i="13"/>
  <c r="E27" i="13"/>
  <c r="L12" i="13"/>
  <c r="L13" i="13"/>
  <c r="L14" i="13"/>
  <c r="L15" i="13"/>
  <c r="L16" i="13"/>
  <c r="L17" i="13"/>
  <c r="L18" i="13"/>
  <c r="L19" i="13"/>
  <c r="L20" i="13"/>
  <c r="L21" i="13"/>
  <c r="L22" i="13"/>
  <c r="L23" i="13"/>
  <c r="L24" i="13"/>
  <c r="L25" i="13"/>
  <c r="L26" i="13"/>
  <c r="L11" i="13"/>
  <c r="E12" i="13"/>
  <c r="E13" i="13"/>
  <c r="E14" i="13"/>
  <c r="E15" i="13"/>
  <c r="E16" i="13"/>
  <c r="E17" i="13"/>
  <c r="E18" i="13"/>
  <c r="E19" i="13"/>
  <c r="E20" i="13"/>
  <c r="E21" i="13"/>
  <c r="E22" i="13"/>
  <c r="E23" i="13"/>
  <c r="E24" i="13"/>
  <c r="E25" i="13"/>
  <c r="E26" i="13"/>
  <c r="E11" i="13"/>
  <c r="F39" i="13"/>
  <c r="E39" i="13"/>
  <c r="H38" i="13"/>
  <c r="I38" i="13" s="1"/>
  <c r="J38" i="13" s="1"/>
  <c r="D38" i="13"/>
  <c r="G38" i="13" s="1"/>
  <c r="H37" i="13"/>
  <c r="D37" i="13"/>
  <c r="H36" i="13"/>
  <c r="D36" i="13"/>
  <c r="H35" i="13"/>
  <c r="I35" i="13" s="1"/>
  <c r="J35" i="13" s="1"/>
  <c r="D35" i="13"/>
  <c r="H34" i="13"/>
  <c r="I34" i="13" s="1"/>
  <c r="J34" i="13" s="1"/>
  <c r="D34" i="13"/>
  <c r="H33" i="13"/>
  <c r="I33" i="13" s="1"/>
  <c r="J33" i="13" s="1"/>
  <c r="D33" i="13"/>
  <c r="H32" i="13"/>
  <c r="D32" i="13"/>
  <c r="D29" i="13"/>
  <c r="B29" i="13"/>
  <c r="D28" i="13"/>
  <c r="C28" i="13"/>
  <c r="B28" i="13"/>
  <c r="Q27" i="13"/>
  <c r="C27" i="13"/>
  <c r="P23" i="13" s="1"/>
  <c r="F26" i="13"/>
  <c r="F25" i="13"/>
  <c r="P24" i="13"/>
  <c r="F24" i="13"/>
  <c r="F23" i="13"/>
  <c r="F22" i="13"/>
  <c r="P21" i="13"/>
  <c r="F21" i="13"/>
  <c r="F20" i="13"/>
  <c r="P19" i="13"/>
  <c r="F19" i="13"/>
  <c r="F18" i="13"/>
  <c r="P17" i="13"/>
  <c r="F17" i="13"/>
  <c r="F16" i="13"/>
  <c r="P15" i="13"/>
  <c r="F15" i="13"/>
  <c r="F14" i="13"/>
  <c r="P13" i="13"/>
  <c r="F13" i="13"/>
  <c r="F12" i="13"/>
  <c r="P11" i="13"/>
  <c r="F11" i="13"/>
  <c r="D29" i="12"/>
  <c r="B29" i="12"/>
  <c r="D29" i="9"/>
  <c r="D28" i="7"/>
  <c r="E23" i="9"/>
  <c r="P27" i="9"/>
  <c r="B29" i="9"/>
  <c r="F39" i="12"/>
  <c r="E39" i="12"/>
  <c r="H38" i="12"/>
  <c r="I38" i="12" s="1"/>
  <c r="J38" i="12" s="1"/>
  <c r="G38" i="12"/>
  <c r="D38" i="12"/>
  <c r="H37" i="12"/>
  <c r="D37" i="12"/>
  <c r="I36" i="12"/>
  <c r="J36" i="12" s="1"/>
  <c r="H36" i="12"/>
  <c r="G36" i="12" s="1"/>
  <c r="D36" i="12"/>
  <c r="H35" i="12"/>
  <c r="I35" i="12" s="1"/>
  <c r="J35" i="12" s="1"/>
  <c r="D35" i="12"/>
  <c r="H34" i="12"/>
  <c r="I34" i="12" s="1"/>
  <c r="J34" i="12" s="1"/>
  <c r="D34" i="12"/>
  <c r="I33" i="12"/>
  <c r="J33" i="12" s="1"/>
  <c r="H33" i="12"/>
  <c r="D33" i="12"/>
  <c r="I32" i="12"/>
  <c r="J32" i="12" s="1"/>
  <c r="H32" i="12"/>
  <c r="D32" i="12"/>
  <c r="D28" i="12"/>
  <c r="C28" i="12"/>
  <c r="B28" i="12"/>
  <c r="C27" i="12"/>
  <c r="E26" i="12"/>
  <c r="E25" i="12"/>
  <c r="E24" i="12"/>
  <c r="E23" i="12"/>
  <c r="E22" i="12"/>
  <c r="E21" i="12"/>
  <c r="E20" i="12"/>
  <c r="E19" i="12"/>
  <c r="E18" i="12"/>
  <c r="E17" i="12"/>
  <c r="E16" i="12"/>
  <c r="E15" i="12"/>
  <c r="E14" i="12"/>
  <c r="E13" i="12"/>
  <c r="E12" i="12"/>
  <c r="E11" i="12"/>
  <c r="E29" i="12" s="1"/>
  <c r="F39" i="9"/>
  <c r="E39" i="9"/>
  <c r="H38" i="9"/>
  <c r="I38" i="9" s="1"/>
  <c r="J38" i="9" s="1"/>
  <c r="G38" i="9"/>
  <c r="D38" i="9"/>
  <c r="H37" i="9"/>
  <c r="D37" i="9"/>
  <c r="I36" i="9"/>
  <c r="J36" i="9" s="1"/>
  <c r="H36" i="9"/>
  <c r="G36" i="9" s="1"/>
  <c r="D36" i="9"/>
  <c r="J35" i="9"/>
  <c r="I35" i="9"/>
  <c r="H35" i="9"/>
  <c r="D35" i="9"/>
  <c r="J34" i="9"/>
  <c r="I34" i="9"/>
  <c r="H34" i="9"/>
  <c r="D34" i="9"/>
  <c r="H33" i="9"/>
  <c r="I33" i="9" s="1"/>
  <c r="J33" i="9" s="1"/>
  <c r="D33" i="9"/>
  <c r="H32" i="9"/>
  <c r="D32" i="9"/>
  <c r="D28" i="9"/>
  <c r="C28" i="9"/>
  <c r="B28" i="9"/>
  <c r="C27" i="9"/>
  <c r="O15" i="9" s="1"/>
  <c r="E26" i="9"/>
  <c r="E25" i="9"/>
  <c r="E24" i="9"/>
  <c r="E22" i="9"/>
  <c r="E21" i="9"/>
  <c r="E20" i="9"/>
  <c r="E19" i="9"/>
  <c r="E18" i="9"/>
  <c r="E17" i="9"/>
  <c r="E16" i="9"/>
  <c r="E15" i="9"/>
  <c r="E14" i="9"/>
  <c r="E13" i="9"/>
  <c r="E12" i="9"/>
  <c r="E11" i="9"/>
  <c r="F50" i="7"/>
  <c r="E50" i="7"/>
  <c r="H49" i="7"/>
  <c r="I49" i="7" s="1"/>
  <c r="J49" i="7" s="1"/>
  <c r="D49" i="7"/>
  <c r="H48" i="7"/>
  <c r="G48" i="7" s="1"/>
  <c r="D48" i="7"/>
  <c r="H47" i="7"/>
  <c r="D47" i="7"/>
  <c r="H46" i="7"/>
  <c r="I46" i="7" s="1"/>
  <c r="J46" i="7" s="1"/>
  <c r="D46" i="7"/>
  <c r="H45" i="7"/>
  <c r="I45" i="7" s="1"/>
  <c r="J45" i="7" s="1"/>
  <c r="D45" i="7"/>
  <c r="H44" i="7"/>
  <c r="I44" i="7" s="1"/>
  <c r="J44" i="7" s="1"/>
  <c r="D44" i="7"/>
  <c r="H43" i="7"/>
  <c r="D43" i="7"/>
  <c r="G42" i="7"/>
  <c r="D42" i="7"/>
  <c r="G41" i="7"/>
  <c r="D41" i="7"/>
  <c r="G40" i="7"/>
  <c r="D40" i="7"/>
  <c r="G39" i="7"/>
  <c r="D39" i="7"/>
  <c r="G38" i="7"/>
  <c r="D38" i="7"/>
  <c r="G37" i="7"/>
  <c r="D37" i="7"/>
  <c r="G36" i="7"/>
  <c r="D36" i="7"/>
  <c r="G35" i="7"/>
  <c r="D35" i="7"/>
  <c r="G34" i="7"/>
  <c r="D34" i="7"/>
  <c r="G33" i="7"/>
  <c r="D33" i="7"/>
  <c r="B28" i="7"/>
  <c r="F27" i="7"/>
  <c r="E27" i="7"/>
  <c r="F26" i="7"/>
  <c r="E26" i="7"/>
  <c r="H26" i="7" s="1"/>
  <c r="F25" i="7"/>
  <c r="E25" i="7"/>
  <c r="H25" i="7" s="1"/>
  <c r="F24" i="7"/>
  <c r="E24" i="7"/>
  <c r="H24" i="7" s="1"/>
  <c r="I24" i="7" s="1"/>
  <c r="F23" i="7"/>
  <c r="E23" i="7"/>
  <c r="H23" i="7" s="1"/>
  <c r="F22" i="7"/>
  <c r="E22" i="7"/>
  <c r="H22" i="7" s="1"/>
  <c r="F21" i="7"/>
  <c r="E21" i="7"/>
  <c r="H21" i="7" s="1"/>
  <c r="F20" i="7"/>
  <c r="E20" i="7"/>
  <c r="H20" i="7" s="1"/>
  <c r="F19" i="7"/>
  <c r="E19" i="7"/>
  <c r="H19" i="7" s="1"/>
  <c r="F18" i="7"/>
  <c r="E18" i="7"/>
  <c r="H18" i="7" s="1"/>
  <c r="F17" i="7"/>
  <c r="E17" i="7"/>
  <c r="H17" i="7" s="1"/>
  <c r="F16" i="7"/>
  <c r="E16" i="7"/>
  <c r="G16" i="7" s="1"/>
  <c r="F15" i="7"/>
  <c r="E15" i="7"/>
  <c r="H15" i="7" s="1"/>
  <c r="F14" i="7"/>
  <c r="E14" i="7"/>
  <c r="G3" i="7"/>
  <c r="B8" i="7" s="1"/>
  <c r="G36" i="13" l="1"/>
  <c r="P12" i="13"/>
  <c r="P14" i="13"/>
  <c r="P16" i="13"/>
  <c r="P18" i="13"/>
  <c r="P20" i="13"/>
  <c r="P22" i="13"/>
  <c r="F28" i="13"/>
  <c r="P25" i="13"/>
  <c r="I36" i="13"/>
  <c r="J36" i="13" s="1"/>
  <c r="H39" i="13"/>
  <c r="G11" i="13"/>
  <c r="G24" i="13"/>
  <c r="G26" i="13"/>
  <c r="G37" i="13"/>
  <c r="G39" i="13" s="1"/>
  <c r="G12" i="13"/>
  <c r="F29" i="13"/>
  <c r="G16" i="13"/>
  <c r="G18" i="13"/>
  <c r="G20" i="13"/>
  <c r="G22" i="13"/>
  <c r="G23" i="13"/>
  <c r="F27" i="13"/>
  <c r="G14" i="13"/>
  <c r="I37" i="13"/>
  <c r="J37" i="13" s="1"/>
  <c r="G19" i="13"/>
  <c r="G13" i="13"/>
  <c r="G17" i="13"/>
  <c r="G21" i="13"/>
  <c r="G25" i="13"/>
  <c r="P26" i="13"/>
  <c r="P27" i="13" s="1"/>
  <c r="G15" i="13"/>
  <c r="I32" i="13"/>
  <c r="E29" i="9"/>
  <c r="H39" i="12"/>
  <c r="G23" i="7"/>
  <c r="I25" i="7"/>
  <c r="G27" i="7"/>
  <c r="I21" i="7"/>
  <c r="J21" i="7" s="1"/>
  <c r="G24" i="7"/>
  <c r="G47" i="7"/>
  <c r="I19" i="7"/>
  <c r="J19" i="7" s="1"/>
  <c r="G19" i="7"/>
  <c r="I20" i="7"/>
  <c r="E28" i="7"/>
  <c r="G15" i="7"/>
  <c r="H16" i="7"/>
  <c r="I47" i="7"/>
  <c r="J47" i="7" s="1"/>
  <c r="G49" i="7"/>
  <c r="H27" i="7"/>
  <c r="I27" i="7" s="1"/>
  <c r="J27" i="7" s="1"/>
  <c r="I22" i="7"/>
  <c r="J22" i="7" s="1"/>
  <c r="I17" i="7"/>
  <c r="G20" i="7"/>
  <c r="I23" i="7"/>
  <c r="J23" i="7" s="1"/>
  <c r="H50" i="7"/>
  <c r="O11" i="9"/>
  <c r="O22" i="9"/>
  <c r="O18" i="9"/>
  <c r="O14" i="9"/>
  <c r="O25" i="9"/>
  <c r="O21" i="9"/>
  <c r="O17" i="9"/>
  <c r="O13" i="9"/>
  <c r="O24" i="9"/>
  <c r="O20" i="9"/>
  <c r="O16" i="9"/>
  <c r="O12" i="9"/>
  <c r="O23" i="9"/>
  <c r="O19" i="9"/>
  <c r="F15" i="12"/>
  <c r="F12" i="12"/>
  <c r="F16" i="12"/>
  <c r="F20" i="12"/>
  <c r="F24" i="12"/>
  <c r="G37" i="12"/>
  <c r="F13" i="12"/>
  <c r="F17" i="12"/>
  <c r="F21" i="12"/>
  <c r="F25" i="12"/>
  <c r="G39" i="12"/>
  <c r="F14" i="12"/>
  <c r="F18" i="12"/>
  <c r="E28" i="12"/>
  <c r="I37" i="12"/>
  <c r="F22" i="12"/>
  <c r="F26" i="12"/>
  <c r="F11" i="12"/>
  <c r="F19" i="12"/>
  <c r="F23" i="12"/>
  <c r="G37" i="9"/>
  <c r="H39" i="9"/>
  <c r="F13" i="9"/>
  <c r="F12" i="9"/>
  <c r="F14" i="9"/>
  <c r="F18" i="9"/>
  <c r="F22" i="9"/>
  <c r="F26" i="9"/>
  <c r="F15" i="9"/>
  <c r="F19" i="9"/>
  <c r="F23" i="9"/>
  <c r="F17" i="9"/>
  <c r="F20" i="9"/>
  <c r="F24" i="9"/>
  <c r="G39" i="9"/>
  <c r="F21" i="9"/>
  <c r="F25" i="9"/>
  <c r="F16" i="9"/>
  <c r="I37" i="9"/>
  <c r="J37" i="9" s="1"/>
  <c r="F11" i="9"/>
  <c r="E27" i="9"/>
  <c r="E28" i="9"/>
  <c r="I32" i="9"/>
  <c r="I18" i="7"/>
  <c r="J18" i="7" s="1"/>
  <c r="I15" i="7"/>
  <c r="J15" i="7" s="1"/>
  <c r="E53" i="7"/>
  <c r="I26" i="7"/>
  <c r="J26" i="7" s="1"/>
  <c r="D25" i="7"/>
  <c r="L25" i="7" s="1"/>
  <c r="D21" i="7"/>
  <c r="L21" i="7" s="1"/>
  <c r="D17" i="7"/>
  <c r="L17" i="7" s="1"/>
  <c r="D27" i="7"/>
  <c r="D19" i="7"/>
  <c r="L19" i="7" s="1"/>
  <c r="D26" i="7"/>
  <c r="L26" i="7" s="1"/>
  <c r="D22" i="7"/>
  <c r="L22" i="7" s="1"/>
  <c r="D18" i="7"/>
  <c r="L18" i="7" s="1"/>
  <c r="D14" i="7"/>
  <c r="D23" i="7"/>
  <c r="L23" i="7" s="1"/>
  <c r="D15" i="7"/>
  <c r="L15" i="7" s="1"/>
  <c r="D24" i="7"/>
  <c r="L24" i="7" s="1"/>
  <c r="D20" i="7"/>
  <c r="L20" i="7" s="1"/>
  <c r="D16" i="7"/>
  <c r="G50" i="7"/>
  <c r="F28" i="7"/>
  <c r="F53" i="7" s="1"/>
  <c r="G14" i="7"/>
  <c r="J17" i="7"/>
  <c r="J25" i="7"/>
  <c r="I48" i="7"/>
  <c r="J48" i="7" s="1"/>
  <c r="H14" i="7"/>
  <c r="G17" i="7"/>
  <c r="J20" i="7"/>
  <c r="G21" i="7"/>
  <c r="J24" i="7"/>
  <c r="G25" i="7"/>
  <c r="G18" i="7"/>
  <c r="G22" i="7"/>
  <c r="G26" i="7"/>
  <c r="I43" i="7"/>
  <c r="E18" i="6"/>
  <c r="H18" i="6" s="1"/>
  <c r="F18" i="6"/>
  <c r="I39" i="13" l="1"/>
  <c r="J32" i="13"/>
  <c r="J39" i="13" s="1"/>
  <c r="G27" i="13"/>
  <c r="H15" i="13" s="1"/>
  <c r="G28" i="13"/>
  <c r="H28" i="7"/>
  <c r="H53" i="7" s="1"/>
  <c r="L14" i="7"/>
  <c r="L27" i="7"/>
  <c r="I16" i="7"/>
  <c r="J16" i="7" s="1"/>
  <c r="L16" i="7"/>
  <c r="O26" i="9"/>
  <c r="O27" i="9" s="1"/>
  <c r="J37" i="12"/>
  <c r="J39" i="12" s="1"/>
  <c r="I39" i="12"/>
  <c r="F28" i="12"/>
  <c r="F27" i="12"/>
  <c r="G22" i="12" s="1"/>
  <c r="F28" i="9"/>
  <c r="F27" i="9"/>
  <c r="J32" i="9"/>
  <c r="J39" i="9" s="1"/>
  <c r="I39" i="9"/>
  <c r="I14" i="7"/>
  <c r="G28" i="7"/>
  <c r="G53" i="7" s="1"/>
  <c r="I50" i="7"/>
  <c r="J43" i="7"/>
  <c r="J50" i="7" s="1"/>
  <c r="C28" i="7"/>
  <c r="G18" i="6"/>
  <c r="I18" i="6"/>
  <c r="J18" i="6" s="1"/>
  <c r="H25" i="13" l="1"/>
  <c r="H19" i="13"/>
  <c r="J19" i="13" s="1"/>
  <c r="H13" i="13"/>
  <c r="I13" i="13" s="1"/>
  <c r="H17" i="13"/>
  <c r="J17" i="13" s="1"/>
  <c r="H23" i="13"/>
  <c r="I23" i="13" s="1"/>
  <c r="J15" i="13"/>
  <c r="I15" i="13"/>
  <c r="I19" i="13"/>
  <c r="J25" i="13"/>
  <c r="I25" i="13"/>
  <c r="H12" i="13"/>
  <c r="H22" i="13"/>
  <c r="H11" i="13"/>
  <c r="H24" i="13"/>
  <c r="H20" i="13"/>
  <c r="H16" i="13"/>
  <c r="H18" i="13"/>
  <c r="H26" i="13"/>
  <c r="H14" i="13"/>
  <c r="H21" i="13"/>
  <c r="L28" i="7"/>
  <c r="I22" i="12"/>
  <c r="H22" i="12"/>
  <c r="G26" i="12"/>
  <c r="G14" i="12"/>
  <c r="G18" i="12"/>
  <c r="G11" i="12"/>
  <c r="G16" i="12"/>
  <c r="G13" i="12"/>
  <c r="G25" i="12"/>
  <c r="G20" i="12"/>
  <c r="G15" i="12"/>
  <c r="G12" i="12"/>
  <c r="G24" i="12"/>
  <c r="G17" i="12"/>
  <c r="G21" i="12"/>
  <c r="G23" i="12"/>
  <c r="G19" i="12"/>
  <c r="G12" i="9"/>
  <c r="G13" i="9"/>
  <c r="G14" i="9"/>
  <c r="G23" i="9"/>
  <c r="G18" i="9"/>
  <c r="G15" i="9"/>
  <c r="G17" i="9"/>
  <c r="G24" i="9"/>
  <c r="G22" i="9"/>
  <c r="G19" i="9"/>
  <c r="G20" i="9"/>
  <c r="G26" i="9"/>
  <c r="G21" i="9"/>
  <c r="G25" i="9"/>
  <c r="G11" i="9"/>
  <c r="G16" i="9"/>
  <c r="I28" i="7"/>
  <c r="I53" i="7" s="1"/>
  <c r="J14" i="7"/>
  <c r="J28" i="7" s="1"/>
  <c r="F50" i="6"/>
  <c r="E50" i="6"/>
  <c r="H49" i="6"/>
  <c r="I49" i="6" s="1"/>
  <c r="J49" i="6" s="1"/>
  <c r="D49" i="6"/>
  <c r="H48" i="6"/>
  <c r="D48" i="6"/>
  <c r="H47" i="6"/>
  <c r="D47" i="6"/>
  <c r="H46" i="6"/>
  <c r="I46" i="6" s="1"/>
  <c r="J46" i="6" s="1"/>
  <c r="D46" i="6"/>
  <c r="H45" i="6"/>
  <c r="I45" i="6" s="1"/>
  <c r="J45" i="6" s="1"/>
  <c r="D45" i="6"/>
  <c r="H44" i="6"/>
  <c r="I44" i="6" s="1"/>
  <c r="J44" i="6" s="1"/>
  <c r="D44" i="6"/>
  <c r="H43" i="6"/>
  <c r="D43" i="6"/>
  <c r="G42" i="6"/>
  <c r="D42" i="6"/>
  <c r="G41" i="6"/>
  <c r="D41" i="6"/>
  <c r="G40" i="6"/>
  <c r="D40" i="6"/>
  <c r="G39" i="6"/>
  <c r="D39" i="6"/>
  <c r="G38" i="6"/>
  <c r="D38" i="6"/>
  <c r="G37" i="6"/>
  <c r="D37" i="6"/>
  <c r="G36" i="6"/>
  <c r="D36" i="6"/>
  <c r="G35" i="6"/>
  <c r="D35" i="6"/>
  <c r="G34" i="6"/>
  <c r="D34" i="6"/>
  <c r="G33" i="6"/>
  <c r="D33" i="6"/>
  <c r="B28" i="6"/>
  <c r="F27" i="6"/>
  <c r="E27" i="6"/>
  <c r="H27" i="6" s="1"/>
  <c r="F26" i="6"/>
  <c r="E26" i="6"/>
  <c r="H26" i="6" s="1"/>
  <c r="F25" i="6"/>
  <c r="E25" i="6"/>
  <c r="H25" i="6" s="1"/>
  <c r="F24" i="6"/>
  <c r="E24" i="6"/>
  <c r="H24" i="6" s="1"/>
  <c r="F23" i="6"/>
  <c r="E23" i="6"/>
  <c r="H23" i="6" s="1"/>
  <c r="F22" i="6"/>
  <c r="E22" i="6"/>
  <c r="H22" i="6" s="1"/>
  <c r="F21" i="6"/>
  <c r="E21" i="6"/>
  <c r="H21" i="6" s="1"/>
  <c r="F20" i="6"/>
  <c r="E20" i="6"/>
  <c r="H20" i="6" s="1"/>
  <c r="F19" i="6"/>
  <c r="E19" i="6"/>
  <c r="H19" i="6" s="1"/>
  <c r="F17" i="6"/>
  <c r="E17" i="6"/>
  <c r="F16" i="6"/>
  <c r="E16" i="6"/>
  <c r="H16" i="6" s="1"/>
  <c r="F15" i="6"/>
  <c r="E15" i="6"/>
  <c r="H15" i="6" s="1"/>
  <c r="F14" i="6"/>
  <c r="E14" i="6"/>
  <c r="G4" i="6"/>
  <c r="B8" i="6" s="1"/>
  <c r="D18" i="6" s="1"/>
  <c r="L18" i="6" s="1"/>
  <c r="I17" i="13" l="1"/>
  <c r="J13" i="13"/>
  <c r="J23" i="13"/>
  <c r="K23" i="13" s="1"/>
  <c r="O23" i="13"/>
  <c r="I26" i="13"/>
  <c r="J26" i="13"/>
  <c r="K19" i="13"/>
  <c r="O19" i="13"/>
  <c r="I18" i="13"/>
  <c r="J18" i="13"/>
  <c r="J11" i="13"/>
  <c r="H27" i="13"/>
  <c r="I11" i="13"/>
  <c r="H28" i="13"/>
  <c r="O13" i="13"/>
  <c r="K13" i="13"/>
  <c r="N13" i="13" s="1"/>
  <c r="M13" i="13"/>
  <c r="I21" i="13"/>
  <c r="J21" i="13"/>
  <c r="J16" i="13"/>
  <c r="I16" i="13"/>
  <c r="I22" i="13"/>
  <c r="J22" i="13"/>
  <c r="O25" i="13"/>
  <c r="K25" i="13"/>
  <c r="O15" i="13"/>
  <c r="K15" i="13"/>
  <c r="J24" i="13"/>
  <c r="I24" i="13"/>
  <c r="I14" i="13"/>
  <c r="J14" i="13"/>
  <c r="J20" i="13"/>
  <c r="I20" i="13"/>
  <c r="J12" i="13"/>
  <c r="I12" i="13"/>
  <c r="O17" i="13"/>
  <c r="K17" i="13"/>
  <c r="M15" i="13"/>
  <c r="H50" i="6"/>
  <c r="G47" i="6"/>
  <c r="G17" i="6"/>
  <c r="I23" i="12"/>
  <c r="H23" i="12"/>
  <c r="I12" i="12"/>
  <c r="H12" i="12"/>
  <c r="H13" i="12"/>
  <c r="I13" i="12"/>
  <c r="I14" i="12"/>
  <c r="H14" i="12"/>
  <c r="H21" i="12"/>
  <c r="I21" i="12"/>
  <c r="H15" i="12"/>
  <c r="I15" i="12"/>
  <c r="I16" i="12"/>
  <c r="H16" i="12"/>
  <c r="I26" i="12"/>
  <c r="H26" i="12"/>
  <c r="H17" i="12"/>
  <c r="I17" i="12"/>
  <c r="I20" i="12"/>
  <c r="H20" i="12"/>
  <c r="G28" i="12"/>
  <c r="H11" i="12"/>
  <c r="I11" i="12"/>
  <c r="G27" i="12"/>
  <c r="J22" i="12"/>
  <c r="K22" i="12"/>
  <c r="N22" i="12" s="1"/>
  <c r="H19" i="12"/>
  <c r="I19" i="12"/>
  <c r="I24" i="12"/>
  <c r="H24" i="12"/>
  <c r="H25" i="12"/>
  <c r="I25" i="12"/>
  <c r="I18" i="12"/>
  <c r="H18" i="12"/>
  <c r="E28" i="6"/>
  <c r="G16" i="6"/>
  <c r="G49" i="6"/>
  <c r="I24" i="6"/>
  <c r="J24" i="6" s="1"/>
  <c r="I20" i="6"/>
  <c r="J20" i="6" s="1"/>
  <c r="F28" i="6"/>
  <c r="F53" i="6" s="1"/>
  <c r="I19" i="6"/>
  <c r="J19" i="6" s="1"/>
  <c r="G20" i="6"/>
  <c r="G23" i="6"/>
  <c r="G24" i="6"/>
  <c r="G27" i="6"/>
  <c r="I16" i="6"/>
  <c r="J16" i="6" s="1"/>
  <c r="I22" i="6"/>
  <c r="J22" i="6" s="1"/>
  <c r="I26" i="6"/>
  <c r="J26" i="6" s="1"/>
  <c r="I43" i="6"/>
  <c r="J43" i="6" s="1"/>
  <c r="I47" i="6"/>
  <c r="J47" i="6" s="1"/>
  <c r="I15" i="6"/>
  <c r="J15" i="6" s="1"/>
  <c r="H17" i="6"/>
  <c r="I21" i="6"/>
  <c r="J21" i="6" s="1"/>
  <c r="I25" i="6"/>
  <c r="I23" i="6"/>
  <c r="J23" i="6" s="1"/>
  <c r="I27" i="6"/>
  <c r="J27" i="6" s="1"/>
  <c r="G48" i="6"/>
  <c r="H22" i="9"/>
  <c r="K22" i="9" s="1"/>
  <c r="N22" i="9" s="1"/>
  <c r="I22" i="9"/>
  <c r="H26" i="9"/>
  <c r="K26" i="9" s="1"/>
  <c r="N26" i="9" s="1"/>
  <c r="I26" i="9"/>
  <c r="H23" i="9"/>
  <c r="K23" i="9" s="1"/>
  <c r="N23" i="9" s="1"/>
  <c r="I23" i="9"/>
  <c r="G27" i="9"/>
  <c r="I11" i="9"/>
  <c r="G28" i="9"/>
  <c r="H11" i="9"/>
  <c r="K11" i="9" s="1"/>
  <c r="N11" i="9" s="1"/>
  <c r="I20" i="9"/>
  <c r="H20" i="9"/>
  <c r="K20" i="9" s="1"/>
  <c r="N20" i="9" s="1"/>
  <c r="I17" i="9"/>
  <c r="H17" i="9"/>
  <c r="K17" i="9" s="1"/>
  <c r="N17" i="9" s="1"/>
  <c r="I14" i="9"/>
  <c r="H14" i="9"/>
  <c r="K14" i="9" s="1"/>
  <c r="N14" i="9" s="1"/>
  <c r="I21" i="9"/>
  <c r="H21" i="9"/>
  <c r="K21" i="9" s="1"/>
  <c r="N21" i="9" s="1"/>
  <c r="H16" i="9"/>
  <c r="K16" i="9" s="1"/>
  <c r="N16" i="9" s="1"/>
  <c r="I16" i="9"/>
  <c r="I24" i="9"/>
  <c r="H24" i="9"/>
  <c r="K24" i="9" s="1"/>
  <c r="N24" i="9" s="1"/>
  <c r="I25" i="9"/>
  <c r="H25" i="9"/>
  <c r="K25" i="9" s="1"/>
  <c r="N25" i="9" s="1"/>
  <c r="H19" i="9"/>
  <c r="K19" i="9" s="1"/>
  <c r="N19" i="9" s="1"/>
  <c r="I19" i="9"/>
  <c r="I15" i="9"/>
  <c r="H15" i="9"/>
  <c r="K15" i="9" s="1"/>
  <c r="N15" i="9" s="1"/>
  <c r="I13" i="9"/>
  <c r="H13" i="9"/>
  <c r="K13" i="9" s="1"/>
  <c r="N13" i="9" s="1"/>
  <c r="H18" i="9"/>
  <c r="K18" i="9" s="1"/>
  <c r="N18" i="9" s="1"/>
  <c r="I18" i="9"/>
  <c r="I12" i="9"/>
  <c r="H12" i="9"/>
  <c r="K12" i="9" s="1"/>
  <c r="N12" i="9" s="1"/>
  <c r="J53" i="7"/>
  <c r="E53" i="6"/>
  <c r="D25" i="6"/>
  <c r="L25" i="6" s="1"/>
  <c r="D21" i="6"/>
  <c r="L21" i="6" s="1"/>
  <c r="D26" i="6"/>
  <c r="L26" i="6" s="1"/>
  <c r="D22" i="6"/>
  <c r="L22" i="6" s="1"/>
  <c r="D14" i="6"/>
  <c r="D15" i="6"/>
  <c r="L15" i="6" s="1"/>
  <c r="D27" i="6"/>
  <c r="L27" i="6" s="1"/>
  <c r="D23" i="6"/>
  <c r="L23" i="6" s="1"/>
  <c r="D19" i="6"/>
  <c r="L19" i="6" s="1"/>
  <c r="D24" i="6"/>
  <c r="L24" i="6" s="1"/>
  <c r="D20" i="6"/>
  <c r="L20" i="6" s="1"/>
  <c r="D16" i="6"/>
  <c r="L16" i="6" s="1"/>
  <c r="D17" i="6"/>
  <c r="G14" i="6"/>
  <c r="G22" i="6"/>
  <c r="J25" i="6"/>
  <c r="G26" i="6"/>
  <c r="I48" i="6"/>
  <c r="J48" i="6" s="1"/>
  <c r="G15" i="6"/>
  <c r="G19" i="6"/>
  <c r="H14" i="6"/>
  <c r="G21" i="6"/>
  <c r="G25" i="6"/>
  <c r="M23" i="13" l="1"/>
  <c r="N15" i="13"/>
  <c r="M19" i="13"/>
  <c r="N17" i="13"/>
  <c r="K12" i="13"/>
  <c r="O12" i="13"/>
  <c r="O14" i="13"/>
  <c r="K14" i="13"/>
  <c r="I27" i="13"/>
  <c r="E42" i="13" s="1"/>
  <c r="K11" i="13"/>
  <c r="M11" i="13"/>
  <c r="O18" i="13"/>
  <c r="K18" i="13"/>
  <c r="O26" i="13"/>
  <c r="K26" i="13"/>
  <c r="N26" i="13" s="1"/>
  <c r="K20" i="13"/>
  <c r="O20" i="13"/>
  <c r="K24" i="13"/>
  <c r="O24" i="13"/>
  <c r="M17" i="13"/>
  <c r="O22" i="13"/>
  <c r="K22" i="13"/>
  <c r="O21" i="13"/>
  <c r="K21" i="13"/>
  <c r="M25" i="13"/>
  <c r="N25" i="13"/>
  <c r="K16" i="13"/>
  <c r="O16" i="13"/>
  <c r="J27" i="13"/>
  <c r="F42" i="13" s="1"/>
  <c r="N19" i="13"/>
  <c r="N23" i="13"/>
  <c r="L16" i="9"/>
  <c r="L22" i="12"/>
  <c r="K20" i="12"/>
  <c r="N20" i="12" s="1"/>
  <c r="J20" i="12"/>
  <c r="J26" i="12"/>
  <c r="K26" i="12"/>
  <c r="N26" i="12" s="1"/>
  <c r="K14" i="12"/>
  <c r="N14" i="12" s="1"/>
  <c r="J14" i="12"/>
  <c r="K12" i="12"/>
  <c r="N12" i="12" s="1"/>
  <c r="J12" i="12"/>
  <c r="K25" i="12"/>
  <c r="N25" i="12" s="1"/>
  <c r="J25" i="12"/>
  <c r="J19" i="12"/>
  <c r="K19" i="12"/>
  <c r="N19" i="12" s="1"/>
  <c r="I27" i="12"/>
  <c r="F42" i="12" s="1"/>
  <c r="L26" i="12"/>
  <c r="J15" i="12"/>
  <c r="K15" i="12"/>
  <c r="N15" i="12" s="1"/>
  <c r="K18" i="12"/>
  <c r="N18" i="12" s="1"/>
  <c r="J18" i="12"/>
  <c r="K24" i="12"/>
  <c r="N24" i="12" s="1"/>
  <c r="J24" i="12"/>
  <c r="J11" i="12"/>
  <c r="H27" i="12"/>
  <c r="E42" i="12" s="1"/>
  <c r="K11" i="12"/>
  <c r="N11" i="12" s="1"/>
  <c r="K16" i="12"/>
  <c r="N16" i="12" s="1"/>
  <c r="J16" i="12"/>
  <c r="J23" i="12"/>
  <c r="K23" i="12"/>
  <c r="N23" i="12" s="1"/>
  <c r="M22" i="12"/>
  <c r="J17" i="12"/>
  <c r="K17" i="12"/>
  <c r="N17" i="12" s="1"/>
  <c r="K21" i="12"/>
  <c r="N21" i="12" s="1"/>
  <c r="J21" i="12"/>
  <c r="K13" i="12"/>
  <c r="N13" i="12" s="1"/>
  <c r="J13" i="12"/>
  <c r="L15" i="9"/>
  <c r="L14" i="9"/>
  <c r="L13" i="9"/>
  <c r="L14" i="6"/>
  <c r="G50" i="6"/>
  <c r="N27" i="9"/>
  <c r="J50" i="6"/>
  <c r="I17" i="6"/>
  <c r="J17" i="6" s="1"/>
  <c r="L17" i="6"/>
  <c r="J25" i="9"/>
  <c r="M25" i="9" s="1"/>
  <c r="L25" i="9"/>
  <c r="J14" i="9"/>
  <c r="M14" i="9" s="1"/>
  <c r="L18" i="9"/>
  <c r="J18" i="9"/>
  <c r="M18" i="9" s="1"/>
  <c r="J16" i="9"/>
  <c r="M16" i="9" s="1"/>
  <c r="L26" i="9"/>
  <c r="J26" i="9"/>
  <c r="M26" i="9" s="1"/>
  <c r="J12" i="9"/>
  <c r="M12" i="9" s="1"/>
  <c r="L12" i="9"/>
  <c r="J13" i="9"/>
  <c r="M13" i="9" s="1"/>
  <c r="J24" i="9"/>
  <c r="M24" i="9" s="1"/>
  <c r="L24" i="9"/>
  <c r="J21" i="9"/>
  <c r="M21" i="9" s="1"/>
  <c r="L21" i="9"/>
  <c r="J17" i="9"/>
  <c r="M17" i="9" s="1"/>
  <c r="L17" i="9"/>
  <c r="J11" i="9"/>
  <c r="M11" i="9" s="1"/>
  <c r="H27" i="9"/>
  <c r="E42" i="9" s="1"/>
  <c r="J15" i="9"/>
  <c r="M15" i="9" s="1"/>
  <c r="J20" i="9"/>
  <c r="M20" i="9" s="1"/>
  <c r="L20" i="9"/>
  <c r="I27" i="9"/>
  <c r="F42" i="9" s="1"/>
  <c r="L19" i="9"/>
  <c r="J19" i="9"/>
  <c r="M19" i="9" s="1"/>
  <c r="L23" i="9"/>
  <c r="J23" i="9"/>
  <c r="M23" i="9" s="1"/>
  <c r="L22" i="9"/>
  <c r="J22" i="9"/>
  <c r="M22" i="9" s="1"/>
  <c r="G28" i="6"/>
  <c r="G53" i="6" s="1"/>
  <c r="H28" i="6"/>
  <c r="I14" i="6"/>
  <c r="I50" i="6"/>
  <c r="N18" i="13" l="1"/>
  <c r="M24" i="13"/>
  <c r="N16" i="13"/>
  <c r="M16" i="13"/>
  <c r="N21" i="13"/>
  <c r="N20" i="13"/>
  <c r="M21" i="13"/>
  <c r="M12" i="13"/>
  <c r="M14" i="13"/>
  <c r="L27" i="13"/>
  <c r="H42" i="13" s="1"/>
  <c r="O11" i="13"/>
  <c r="O27" i="13" s="1"/>
  <c r="M22" i="13"/>
  <c r="M26" i="13"/>
  <c r="M20" i="13"/>
  <c r="N22" i="13"/>
  <c r="N24" i="13"/>
  <c r="N11" i="13"/>
  <c r="K27" i="13"/>
  <c r="G42" i="13" s="1"/>
  <c r="N14" i="13"/>
  <c r="M18" i="13"/>
  <c r="N12" i="13"/>
  <c r="N27" i="12"/>
  <c r="L28" i="6"/>
  <c r="L20" i="12"/>
  <c r="M20" i="12"/>
  <c r="L23" i="12"/>
  <c r="L24" i="12"/>
  <c r="M24" i="12"/>
  <c r="L12" i="12"/>
  <c r="M17" i="12"/>
  <c r="M23" i="12"/>
  <c r="M15" i="12"/>
  <c r="M12" i="12"/>
  <c r="M11" i="12"/>
  <c r="J27" i="12"/>
  <c r="G42" i="12" s="1"/>
  <c r="M13" i="12"/>
  <c r="L16" i="12"/>
  <c r="L13" i="12"/>
  <c r="L17" i="12"/>
  <c r="L15" i="12"/>
  <c r="L18" i="12"/>
  <c r="L21" i="12"/>
  <c r="K27" i="12"/>
  <c r="H42" i="12" s="1"/>
  <c r="L14" i="12"/>
  <c r="M19" i="12"/>
  <c r="L19" i="12"/>
  <c r="M21" i="12"/>
  <c r="M16" i="12"/>
  <c r="M18" i="12"/>
  <c r="L11" i="12"/>
  <c r="M25" i="12"/>
  <c r="M14" i="12"/>
  <c r="M26" i="12"/>
  <c r="L25" i="12"/>
  <c r="K27" i="9"/>
  <c r="H42" i="9" s="1"/>
  <c r="L11" i="9"/>
  <c r="J27" i="9"/>
  <c r="G42" i="9" s="1"/>
  <c r="I28" i="6"/>
  <c r="I53" i="6" s="1"/>
  <c r="J14" i="6"/>
  <c r="J28" i="6" s="1"/>
  <c r="H53" i="6"/>
  <c r="C28" i="6"/>
  <c r="M27" i="13" l="1"/>
  <c r="I42" i="13" s="1"/>
  <c r="N27" i="13"/>
  <c r="J42" i="13" s="1"/>
  <c r="L27" i="12"/>
  <c r="I42" i="12" s="1"/>
  <c r="M27" i="12"/>
  <c r="J42" i="12" s="1"/>
  <c r="L27" i="9"/>
  <c r="I42" i="9" s="1"/>
  <c r="M27" i="9"/>
  <c r="J42" i="9" s="1"/>
  <c r="J53" i="6"/>
  <c r="D28" i="6"/>
  <c r="D22" i="1"/>
  <c r="D23" i="1" s="1"/>
  <c r="F22" i="1"/>
  <c r="F23" i="1" s="1"/>
  <c r="B22" i="1" l="1"/>
  <c r="B23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Rickard Uddenberg</author>
  </authors>
  <commentList>
    <comment ref="C10" authorId="0" shapeId="0" xr:uid="{23C5A415-F93D-472A-91F4-FE17AC27BE16}">
      <text>
        <r>
          <rPr>
            <b/>
            <sz val="9"/>
            <color indexed="81"/>
            <rFont val="Tahoma"/>
            <family val="2"/>
          </rPr>
          <t>Rickard Uddenberg:</t>
        </r>
        <r>
          <rPr>
            <sz val="9"/>
            <color indexed="81"/>
            <rFont val="Tahoma"/>
            <family val="2"/>
          </rPr>
          <t xml:space="preserve">
Detta är i princip en värdemodell. Varför den måste justeras för värdet på nybyggnation.</t>
        </r>
      </text>
    </comment>
    <comment ref="D11" authorId="0" shapeId="0" xr:uid="{36C5867B-BD5E-4712-BDCA-96D9816DAF05}">
      <text>
        <r>
          <rPr>
            <b/>
            <sz val="9"/>
            <color indexed="81"/>
            <rFont val="Tahoma"/>
            <family val="2"/>
          </rPr>
          <t>Rickard Uddenberg:</t>
        </r>
        <r>
          <rPr>
            <sz val="9"/>
            <color indexed="81"/>
            <rFont val="Tahoma"/>
            <family val="2"/>
          </rPr>
          <t xml:space="preserve">
Det är inte rimligt att det skulle bara vara 17 år kvar, ej eller känns det som att sätta köp-datum och räkna 100 år från det. Bättre räkna 200 år från bygget.</t>
        </r>
      </text>
    </comment>
    <comment ref="D18" authorId="0" shapeId="0" xr:uid="{77FA85E3-0C98-4E3C-A5DD-6A00F07BD26F}">
      <text>
        <r>
          <rPr>
            <b/>
            <sz val="9"/>
            <color indexed="81"/>
            <rFont val="Tahoma"/>
            <family val="2"/>
          </rPr>
          <t>Rickard Uddenberg:</t>
        </r>
        <r>
          <rPr>
            <sz val="9"/>
            <color indexed="81"/>
            <rFont val="Tahoma"/>
            <family val="2"/>
          </rPr>
          <t xml:space="preserve">
Detta står och är inget gjort sedan 1991, så det verkar hålla betydligt längre än 15 år, 20-25..
</t>
        </r>
      </text>
    </comment>
    <comment ref="D23" authorId="0" shapeId="0" xr:uid="{9853BF64-B65C-4712-9684-71D4A1FBCB61}">
      <text>
        <r>
          <rPr>
            <b/>
            <sz val="9"/>
            <color indexed="81"/>
            <rFont val="Tahoma"/>
            <family val="2"/>
          </rPr>
          <t>Rickard Uddenberg:</t>
        </r>
        <r>
          <rPr>
            <sz val="9"/>
            <color indexed="81"/>
            <rFont val="Tahoma"/>
            <family val="2"/>
          </rPr>
          <t xml:space="preserve">
Från 25 till 50 år, vi har självdrag.</t>
        </r>
      </text>
    </comment>
    <comment ref="D24" authorId="0" shapeId="0" xr:uid="{37A02A32-4E28-4A83-B765-121D16B1C7EC}">
      <text>
        <r>
          <rPr>
            <b/>
            <sz val="9"/>
            <color indexed="81"/>
            <rFont val="Tahoma"/>
            <family val="2"/>
          </rPr>
          <t>Rickard Uddenberg:</t>
        </r>
        <r>
          <rPr>
            <sz val="9"/>
            <color indexed="81"/>
            <rFont val="Tahoma"/>
            <family val="2"/>
          </rPr>
          <t xml:space="preserve">
Hissen har hållt betydligt längre än 25 år. Krog och utrustning är säkert 50 år och drivning gissningsvis 30 iaf om inte lika gammalt.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Rickard Uddenberg</author>
  </authors>
  <commentList>
    <comment ref="C10" authorId="0" shapeId="0" xr:uid="{06D76D69-D55C-42BF-BCBC-5229DB94E9BC}">
      <text>
        <r>
          <rPr>
            <b/>
            <sz val="9"/>
            <color indexed="81"/>
            <rFont val="Tahoma"/>
            <family val="2"/>
          </rPr>
          <t>Rickard Uddenberg:</t>
        </r>
        <r>
          <rPr>
            <sz val="9"/>
            <color indexed="81"/>
            <rFont val="Tahoma"/>
            <family val="2"/>
          </rPr>
          <t xml:space="preserve">
Detta är i princip en värdemodell. Varför den måste justeras för värdet på nybyggnation.</t>
        </r>
      </text>
    </comment>
    <comment ref="D11" authorId="0" shapeId="0" xr:uid="{B8181286-C9BF-44B2-B16B-65320280C6B1}">
      <text>
        <r>
          <rPr>
            <b/>
            <sz val="9"/>
            <color indexed="81"/>
            <rFont val="Tahoma"/>
            <family val="2"/>
          </rPr>
          <t>Rickard Uddenberg:</t>
        </r>
        <r>
          <rPr>
            <sz val="9"/>
            <color indexed="81"/>
            <rFont val="Tahoma"/>
            <family val="2"/>
          </rPr>
          <t xml:space="preserve">
Det är inte rimligt att det skulle bara vara 17 år kvar, ej eller känns det som att sätta köp-datum och räkna 100 år från det. Bättre räkna 200 år från bygget.</t>
        </r>
      </text>
    </comment>
    <comment ref="N13" authorId="0" shapeId="0" xr:uid="{CB42458A-4E92-4779-9CBF-2F3E31A43F03}">
      <text>
        <r>
          <rPr>
            <b/>
            <sz val="9"/>
            <color indexed="81"/>
            <rFont val="Tahoma"/>
            <family val="2"/>
          </rPr>
          <t>Rickard Uddenberg:</t>
        </r>
        <r>
          <rPr>
            <sz val="9"/>
            <color indexed="81"/>
            <rFont val="Tahoma"/>
            <family val="2"/>
          </rPr>
          <t xml:space="preserve">
Stämmer ungefär med vad ny UC och elemnetbytet beräknas kosta.</t>
        </r>
      </text>
    </comment>
    <comment ref="C17" authorId="0" shapeId="0" xr:uid="{432832AB-4EBC-4060-8C32-81E83529E51A}">
      <text>
        <r>
          <rPr>
            <b/>
            <sz val="9"/>
            <color indexed="81"/>
            <rFont val="Tahoma"/>
            <family val="2"/>
          </rPr>
          <t>Rickard Uddenberg:</t>
        </r>
        <r>
          <rPr>
            <sz val="9"/>
            <color indexed="81"/>
            <rFont val="Tahoma"/>
            <family val="2"/>
          </rPr>
          <t xml:space="preserve">
Orimligt att elen är så stor förhållande till värmen.</t>
        </r>
      </text>
    </comment>
    <comment ref="D18" authorId="0" shapeId="0" xr:uid="{281B02BE-341E-47DC-83AA-737BBEEE4B8F}">
      <text>
        <r>
          <rPr>
            <b/>
            <sz val="9"/>
            <color indexed="81"/>
            <rFont val="Tahoma"/>
            <family val="2"/>
          </rPr>
          <t>Rickard Uddenberg:</t>
        </r>
        <r>
          <rPr>
            <sz val="9"/>
            <color indexed="81"/>
            <rFont val="Tahoma"/>
            <family val="2"/>
          </rPr>
          <t xml:space="preserve">
Detta står och är inget gjort sedan 1991, så det verkar hålla betydligt längre än 15 år, 20-25..
</t>
        </r>
      </text>
    </comment>
    <comment ref="N20" authorId="0" shapeId="0" xr:uid="{024E28ED-ABF4-4A2C-94BC-03712A879746}">
      <text>
        <r>
          <rPr>
            <b/>
            <sz val="9"/>
            <color indexed="81"/>
            <rFont val="Tahoma"/>
            <family val="2"/>
          </rPr>
          <t>Rickard Uddenberg:</t>
        </r>
        <r>
          <rPr>
            <sz val="9"/>
            <color indexed="81"/>
            <rFont val="Tahoma"/>
            <family val="2"/>
          </rPr>
          <t xml:space="preserve">
Lågt värde, men inflationsjusterat rimligt värde för byte fönster.</t>
        </r>
      </text>
    </comment>
    <comment ref="B22" authorId="0" shapeId="0" xr:uid="{9EB055DB-9834-416F-9101-AB267E24A28F}">
      <text>
        <r>
          <rPr>
            <b/>
            <sz val="9"/>
            <color indexed="81"/>
            <rFont val="Tahoma"/>
            <family val="2"/>
          </rPr>
          <t>Rickard Uddenberg:</t>
        </r>
        <r>
          <rPr>
            <sz val="9"/>
            <color indexed="81"/>
            <rFont val="Tahoma"/>
            <family val="2"/>
          </rPr>
          <t xml:space="preserve">
Aktiverades dock aldrig.. Vi gjorde det själva.</t>
        </r>
      </text>
    </comment>
    <comment ref="C23" authorId="0" shapeId="0" xr:uid="{C52678D9-6B55-4164-908C-4460277A0183}">
      <text>
        <r>
          <rPr>
            <b/>
            <sz val="9"/>
            <color indexed="81"/>
            <rFont val="Tahoma"/>
            <family val="2"/>
          </rPr>
          <t>Rickard Uddenberg:</t>
        </r>
        <r>
          <rPr>
            <sz val="9"/>
            <color indexed="81"/>
            <rFont val="Tahoma"/>
            <family val="2"/>
          </rPr>
          <t xml:space="preserve">
Självdrag. Oftast det FTX eller FT och andra dyra lösningar idag.</t>
        </r>
      </text>
    </comment>
    <comment ref="D23" authorId="0" shapeId="0" xr:uid="{AFB5225B-6238-432B-AEC1-7446290410E0}">
      <text>
        <r>
          <rPr>
            <b/>
            <sz val="9"/>
            <color indexed="81"/>
            <rFont val="Tahoma"/>
            <family val="2"/>
          </rPr>
          <t>Rickard Uddenberg:</t>
        </r>
        <r>
          <rPr>
            <sz val="9"/>
            <color indexed="81"/>
            <rFont val="Tahoma"/>
            <family val="2"/>
          </rPr>
          <t xml:space="preserve">
Från 25 till 50 år, vi har självdrag.</t>
        </r>
      </text>
    </comment>
    <comment ref="D24" authorId="0" shapeId="0" xr:uid="{09FD1098-5A7F-4DE6-BCCC-9967ED86C6AE}">
      <text>
        <r>
          <rPr>
            <b/>
            <sz val="9"/>
            <color indexed="81"/>
            <rFont val="Tahoma"/>
            <family val="2"/>
          </rPr>
          <t>Rickard Uddenberg:</t>
        </r>
        <r>
          <rPr>
            <sz val="9"/>
            <color indexed="81"/>
            <rFont val="Tahoma"/>
            <family val="2"/>
          </rPr>
          <t xml:space="preserve">
Hissen har hållt betydligt längre än 25 år. Krog och utrustning är säkert 50 år och drivning gissningsvis 30 iaf om inte lika gammalt.</t>
        </r>
      </text>
    </comment>
    <comment ref="N24" authorId="0" shapeId="0" xr:uid="{D5D36F3C-255B-45A7-A40C-F42895A9387B}">
      <text>
        <r>
          <rPr>
            <b/>
            <sz val="9"/>
            <color indexed="81"/>
            <rFont val="Tahoma"/>
            <family val="2"/>
          </rPr>
          <t>Rickard Uddenberg:</t>
        </r>
        <r>
          <rPr>
            <sz val="9"/>
            <color indexed="81"/>
            <rFont val="Tahoma"/>
            <family val="2"/>
          </rPr>
          <t xml:space="preserve">
Stämmer ungefär vad två nya hissar kostar, inflationsjusterat så där på en höft. (nästan 1 milj/st)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Rickard Uddenberg</author>
  </authors>
  <commentList>
    <comment ref="C10" authorId="0" shapeId="0" xr:uid="{B60EADFC-D9DA-483B-A7EE-73BE7EC552E5}">
      <text>
        <r>
          <rPr>
            <b/>
            <sz val="9"/>
            <color indexed="81"/>
            <rFont val="Tahoma"/>
            <family val="2"/>
          </rPr>
          <t>Rickard Uddenberg:</t>
        </r>
        <r>
          <rPr>
            <sz val="9"/>
            <color indexed="81"/>
            <rFont val="Tahoma"/>
            <family val="2"/>
          </rPr>
          <t xml:space="preserve">
Detta är i princip en värdemodell. Varför den måste justeras för värdet på nybyggnation.</t>
        </r>
      </text>
    </comment>
    <comment ref="D11" authorId="0" shapeId="0" xr:uid="{19885979-1E46-42CA-829B-12482B9B9384}">
      <text>
        <r>
          <rPr>
            <b/>
            <sz val="9"/>
            <color indexed="81"/>
            <rFont val="Tahoma"/>
            <family val="2"/>
          </rPr>
          <t>Rickard Uddenberg:</t>
        </r>
        <r>
          <rPr>
            <sz val="9"/>
            <color indexed="81"/>
            <rFont val="Tahoma"/>
            <family val="2"/>
          </rPr>
          <t xml:space="preserve">
Det är inte rimligt att det skulle bara vara 17 år kvar, ej eller känns det som att sätta köp-datum och räkna 100 år från det. Bättre räkna 200 år från bygget.</t>
        </r>
      </text>
    </comment>
    <comment ref="O13" authorId="0" shapeId="0" xr:uid="{089B70A0-5B47-4EA1-899E-4830AA57F1CB}">
      <text>
        <r>
          <rPr>
            <b/>
            <sz val="9"/>
            <color indexed="81"/>
            <rFont val="Tahoma"/>
            <family val="2"/>
          </rPr>
          <t>Rickard Uddenberg:</t>
        </r>
        <r>
          <rPr>
            <sz val="9"/>
            <color indexed="81"/>
            <rFont val="Tahoma"/>
            <family val="2"/>
          </rPr>
          <t xml:space="preserve">
Stämmer ungefär med vad ny UC och elemnetbytet beräknas kosta.</t>
        </r>
      </text>
    </comment>
    <comment ref="C17" authorId="0" shapeId="0" xr:uid="{E4E7FCCB-2E77-402D-8F2B-582B6A9F5A2E}">
      <text>
        <r>
          <rPr>
            <b/>
            <sz val="9"/>
            <color indexed="81"/>
            <rFont val="Tahoma"/>
            <family val="2"/>
          </rPr>
          <t>Rickard Uddenberg:</t>
        </r>
        <r>
          <rPr>
            <sz val="9"/>
            <color indexed="81"/>
            <rFont val="Tahoma"/>
            <family val="2"/>
          </rPr>
          <t xml:space="preserve">
Orimligt att elen är så stor förhållande till värmen.</t>
        </r>
      </text>
    </comment>
    <comment ref="D18" authorId="0" shapeId="0" xr:uid="{773781C1-1486-49C8-8A7A-0ED5EA59D13C}">
      <text>
        <r>
          <rPr>
            <b/>
            <sz val="9"/>
            <color indexed="81"/>
            <rFont val="Tahoma"/>
            <family val="2"/>
          </rPr>
          <t>Rickard Uddenberg:</t>
        </r>
        <r>
          <rPr>
            <sz val="9"/>
            <color indexed="81"/>
            <rFont val="Tahoma"/>
            <family val="2"/>
          </rPr>
          <t xml:space="preserve">
Detta står och är inget gjort sedan 1991, så det verkar hålla betydligt längre än 15 år, 20-25..
</t>
        </r>
      </text>
    </comment>
    <comment ref="O20" authorId="0" shapeId="0" xr:uid="{D3A082AF-EE19-4AFD-8E4B-B6FE6F97B084}">
      <text>
        <r>
          <rPr>
            <b/>
            <sz val="9"/>
            <color indexed="81"/>
            <rFont val="Tahoma"/>
            <family val="2"/>
          </rPr>
          <t>Rickard Uddenberg:</t>
        </r>
        <r>
          <rPr>
            <sz val="9"/>
            <color indexed="81"/>
            <rFont val="Tahoma"/>
            <family val="2"/>
          </rPr>
          <t xml:space="preserve">
Lågt värde, men inflationsjusterat rimligt värde för byte fönster.</t>
        </r>
      </text>
    </comment>
    <comment ref="B22" authorId="0" shapeId="0" xr:uid="{C0E20CE7-342F-4479-B79E-71200B85C743}">
      <text>
        <r>
          <rPr>
            <b/>
            <sz val="9"/>
            <color indexed="81"/>
            <rFont val="Tahoma"/>
            <family val="2"/>
          </rPr>
          <t>Rickard Uddenberg:</t>
        </r>
        <r>
          <rPr>
            <sz val="9"/>
            <color indexed="81"/>
            <rFont val="Tahoma"/>
            <family val="2"/>
          </rPr>
          <t xml:space="preserve">
Aktiverades dock aldrig.. Vi gjorde det själva.</t>
        </r>
      </text>
    </comment>
    <comment ref="C23" authorId="0" shapeId="0" xr:uid="{770A9F3E-7BF2-4EE7-8EA5-B3A5DED58AA0}">
      <text>
        <r>
          <rPr>
            <b/>
            <sz val="9"/>
            <color indexed="81"/>
            <rFont val="Tahoma"/>
            <family val="2"/>
          </rPr>
          <t>Rickard Uddenberg:</t>
        </r>
        <r>
          <rPr>
            <sz val="9"/>
            <color indexed="81"/>
            <rFont val="Tahoma"/>
            <family val="2"/>
          </rPr>
          <t xml:space="preserve">
Självdrag. Oftast det FTX eller FT och andra dyra lösningar idag.</t>
        </r>
      </text>
    </comment>
    <comment ref="D23" authorId="0" shapeId="0" xr:uid="{8DFCE68C-79B2-4059-B506-AB1CD45703BD}">
      <text>
        <r>
          <rPr>
            <b/>
            <sz val="9"/>
            <color indexed="81"/>
            <rFont val="Tahoma"/>
            <family val="2"/>
          </rPr>
          <t>Rickard Uddenberg:</t>
        </r>
        <r>
          <rPr>
            <sz val="9"/>
            <color indexed="81"/>
            <rFont val="Tahoma"/>
            <family val="2"/>
          </rPr>
          <t xml:space="preserve">
Från 25 till 50 år, vi har självdrag.</t>
        </r>
      </text>
    </comment>
    <comment ref="D24" authorId="0" shapeId="0" xr:uid="{1D4B25C5-624A-4ABE-ACF2-16CBB1D9709D}">
      <text>
        <r>
          <rPr>
            <b/>
            <sz val="9"/>
            <color indexed="81"/>
            <rFont val="Tahoma"/>
            <family val="2"/>
          </rPr>
          <t>Rickard Uddenberg:</t>
        </r>
        <r>
          <rPr>
            <sz val="9"/>
            <color indexed="81"/>
            <rFont val="Tahoma"/>
            <family val="2"/>
          </rPr>
          <t xml:space="preserve">
Hissen har hållt betydligt längre än 25 år. Krog och utrustning är säkert 50 år och drivning gissningsvis 30 iaf om inte lika gammalt.</t>
        </r>
      </text>
    </comment>
    <comment ref="O24" authorId="0" shapeId="0" xr:uid="{05BC9513-9E37-47FD-8CDA-176EB5B09D39}">
      <text>
        <r>
          <rPr>
            <b/>
            <sz val="9"/>
            <color indexed="81"/>
            <rFont val="Tahoma"/>
            <family val="2"/>
          </rPr>
          <t>Rickard Uddenberg:</t>
        </r>
        <r>
          <rPr>
            <sz val="9"/>
            <color indexed="81"/>
            <rFont val="Tahoma"/>
            <family val="2"/>
          </rPr>
          <t xml:space="preserve">
Stämmer ungefär vad två nya hissar kostar, inflationsjusterat så där på en höft. (nästan 1 milj/st)
</t>
        </r>
      </text>
    </comment>
  </commentList>
</comments>
</file>

<file path=xl/sharedStrings.xml><?xml version="1.0" encoding="utf-8"?>
<sst xmlns="http://schemas.openxmlformats.org/spreadsheetml/2006/main" count="394" uniqueCount="108">
  <si>
    <t>Komponent</t>
  </si>
  <si>
    <t>Stomme och grund</t>
  </si>
  <si>
    <t>Stomkomplletteringar/innerväggar</t>
  </si>
  <si>
    <t>Värme, Sanitet (VS)</t>
  </si>
  <si>
    <t>El</t>
  </si>
  <si>
    <t>Inre ytskikt och vitvaror</t>
  </si>
  <si>
    <t>Fasad</t>
  </si>
  <si>
    <t>Fönster</t>
  </si>
  <si>
    <t>Köksinredning</t>
  </si>
  <si>
    <t>Yttertak</t>
  </si>
  <si>
    <t>Ventilation</t>
  </si>
  <si>
    <t>Transport (tex. Hiss)</t>
  </si>
  <si>
    <t>Styr &amp; Övervakning</t>
  </si>
  <si>
    <t>Restpost</t>
  </si>
  <si>
    <t>Andel</t>
  </si>
  <si>
    <t>Avskrivning enligt SABO på ny hyresfastigheter</t>
  </si>
  <si>
    <t>Nyttjande period, år</t>
  </si>
  <si>
    <t>Antal år på fastigheten</t>
  </si>
  <si>
    <t>Kvarvaran. Perioder</t>
  </si>
  <si>
    <t>Nyttjande perioder</t>
  </si>
  <si>
    <t>Byggnadsvärde</t>
  </si>
  <si>
    <t>Ack. Avskriningar</t>
  </si>
  <si>
    <t>Stomkompletteringar/innerväggar</t>
  </si>
  <si>
    <t>Ej avskrivningbart på fastigheten</t>
  </si>
  <si>
    <t>Aktiverade reparationskostnader</t>
  </si>
  <si>
    <t>Aktiverings-datum</t>
  </si>
  <si>
    <t>Aktiverat belopp</t>
  </si>
  <si>
    <t>bokf. Ack avskrivning</t>
  </si>
  <si>
    <t>Bokfört restvärde</t>
  </si>
  <si>
    <t xml:space="preserve">Beräknade tidigare avskr. </t>
  </si>
  <si>
    <t>Reparationer, ej spec.</t>
  </si>
  <si>
    <t>Reparationer, ombyggnationer</t>
  </si>
  <si>
    <t>Reparationer, kontor</t>
  </si>
  <si>
    <t>Reparationer, Källarförråd</t>
  </si>
  <si>
    <t>Stambyte</t>
  </si>
  <si>
    <t>Undercentraler</t>
  </si>
  <si>
    <t>Anskaffningsdatum</t>
  </si>
  <si>
    <t>Bokslutsdatum</t>
  </si>
  <si>
    <t>År på fastigheten</t>
  </si>
  <si>
    <t>Tidigare avskr.%</t>
  </si>
  <si>
    <t>Ny fastighet</t>
  </si>
  <si>
    <t>24 år gammal</t>
  </si>
  <si>
    <t>49 år gammal</t>
  </si>
  <si>
    <t>Bokfört IB restvärde</t>
  </si>
  <si>
    <t>Brf Ekoxen</t>
  </si>
  <si>
    <t>Avskrivningar 2018 enligt K3</t>
  </si>
  <si>
    <t>Ack avskrivning tom beskatt.år</t>
  </si>
  <si>
    <t>Redovisat värde 20181231</t>
  </si>
  <si>
    <t>Stenläggning</t>
  </si>
  <si>
    <t>Fasad- och markförbättringar</t>
  </si>
  <si>
    <t>Markanläggning</t>
  </si>
  <si>
    <t>Bergvärme</t>
  </si>
  <si>
    <t>Led- belysning</t>
  </si>
  <si>
    <t>Stammar</t>
  </si>
  <si>
    <t>Lokalförbättringar</t>
  </si>
  <si>
    <t>Total</t>
  </si>
  <si>
    <t>enligt K3 1 131 982 kr</t>
  </si>
  <si>
    <t>Bokförda avskrivningar 2018 fastigheter :</t>
  </si>
  <si>
    <t>justering avskrivningar 2018 för fastigheter 1 131 982 - 439 832 = 692 150 kr</t>
  </si>
  <si>
    <t>enligt K2 439 832 kr</t>
  </si>
  <si>
    <t>Detta ingår el i lägenheterna, detta äger inte föreningen längre; se tidigare resonemang med internt och externt //RU</t>
  </si>
  <si>
    <t>Vi har gjort stammrenovering -91, detta stämmer på en fastighet som är 49år och inte gjort det.. //RU</t>
  </si>
  <si>
    <t>1) Inga avskrivnignar under 12 år.</t>
  </si>
  <si>
    <t>2b) Sålda hyres-lägenheter räknas ej in för att förenkla.</t>
  </si>
  <si>
    <t>2a) Inre lägenhetsdelar som medlemen ansvarar för skall itne räknas in, det har dessa "köpt" när man köpte sin andel. Där med nollas detta förutom 2b. //RU</t>
  </si>
  <si>
    <t>Bör vara högre, detta är gjort -91</t>
  </si>
  <si>
    <t>Gjordes 2004.</t>
  </si>
  <si>
    <t>Hissarna har hållit i nästan 50 år, varför vi väljer den siffran, 0 kvar, men 50 år framåt.</t>
  </si>
  <si>
    <t>UC är över 25 år och lika mesta av sådant varför vi sätter detta till 0 kr kvar/IB.</t>
  </si>
  <si>
    <t>För låg andel… vet ej när det är gjort, gissningsvis -91</t>
  </si>
  <si>
    <t>Vi har självdrag. Det är ett murat "rör" dvs en del av stomkompletteringar snarare.</t>
  </si>
  <si>
    <t>Basår</t>
  </si>
  <si>
    <t>na</t>
  </si>
  <si>
    <t>Avloppsstammar (horisontella)</t>
  </si>
  <si>
    <t>Avloppsstammar (lodräta)</t>
  </si>
  <si>
    <t>Bokslutsår</t>
  </si>
  <si>
    <t>Aktiverade komponenter</t>
  </si>
  <si>
    <t>Livslängd år</t>
  </si>
  <si>
    <t>Kvar år</t>
  </si>
  <si>
    <t>Viktad kvot</t>
  </si>
  <si>
    <t>Viktad %-kvot</t>
  </si>
  <si>
    <t>Värmesystem, element, UC, oljebrän, värmestammar etc</t>
  </si>
  <si>
    <t>Vattenstammar, varm o kallvatten, horis. &amp; lodr.</t>
  </si>
  <si>
    <t>Summa</t>
  </si>
  <si>
    <t>Genomsnitt</t>
  </si>
  <si>
    <t>Vägt genomsnitt</t>
  </si>
  <si>
    <t>Avskrivningar</t>
  </si>
  <si>
    <t>Fullvärde enl modell</t>
  </si>
  <si>
    <t>Kontrollkollumn</t>
  </si>
  <si>
    <t>Justerad Livslängd år</t>
  </si>
  <si>
    <t>Kommentarer</t>
  </si>
  <si>
    <t>Fördel. SABO "ny" - justerad värde-modell.</t>
  </si>
  <si>
    <t>Justerad %kvot SABO-modell</t>
  </si>
  <si>
    <t>Fördel. SABO "ny"</t>
  </si>
  <si>
    <t>Referens - Fördel. SABO "ny"</t>
  </si>
  <si>
    <t xml:space="preserve">Av: Olga </t>
  </si>
  <si>
    <t>SABO</t>
  </si>
  <si>
    <t>Version 2</t>
  </si>
  <si>
    <t>Version 1</t>
  </si>
  <si>
    <t>Kommenterad, kontrollkollum skapad, av Rickard U</t>
  </si>
  <si>
    <t>Kommenterad, kontrollkollum och justerad kvarvarande period av Rickard U</t>
  </si>
  <si>
    <t>Så länge som det stått sedan -91 visar att det håller längre.</t>
  </si>
  <si>
    <t>Version 3</t>
  </si>
  <si>
    <t>Av: Rickard med bas av Olgas version</t>
  </si>
  <si>
    <t>Version 4 - ändrade värden i sabo</t>
  </si>
  <si>
    <t>Version 3 - ändrade värden i längd och fiktiv värme.</t>
  </si>
  <si>
    <t>Version 5 - referensvärde bara</t>
  </si>
  <si>
    <t xml:space="preserve">Kvar från (2001) förvärvningsår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</si>
</sst>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* #,##0.00\ &quot;kr&quot;_-;\-* #,##0.00\ &quot;kr&quot;_-;_-* &quot;-&quot;??\ &quot;kr&quot;_-;_-@_-"/>
    <numFmt numFmtId="164" formatCode="_-* #,##0\ &quot;kr&quot;_-;\-* #,##0\ &quot;kr&quot;_-;_-* &quot;-&quot;??\ &quot;kr&quot;_-;_-@_-"/>
    <numFmt numFmtId="165" formatCode="0.0%"/>
    <numFmt numFmtId="166" formatCode="yyyy;@"/>
    <numFmt numFmtId="167" formatCode="#,##0.0"/>
    <numFmt numFmtId="168" formatCode="#,##0.00000"/>
    <numFmt numFmtId="169" formatCode="#,##0\ &quot;kr&quot;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trike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610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theme="1" tint="0.499984740745262"/>
      <name val="Calibri"/>
      <family val="2"/>
      <scheme val="minor"/>
    </font>
    <font>
      <i/>
      <sz val="11"/>
      <color theme="1" tint="0.499984740745262"/>
      <name val="Calibri"/>
      <family val="2"/>
      <scheme val="minor"/>
    </font>
    <font>
      <b/>
      <sz val="11"/>
      <color rgb="FFC00000"/>
      <name val="Calibri"/>
      <family val="2"/>
      <scheme val="minor"/>
    </font>
    <font>
      <i/>
      <sz val="11"/>
      <color rgb="FFC00000"/>
      <name val="Calibri"/>
      <family val="2"/>
      <scheme val="minor"/>
    </font>
    <font>
      <sz val="12"/>
      <color rgb="FF006100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2" borderId="0" applyNumberFormat="0" applyBorder="0" applyAlignment="0" applyProtection="0"/>
  </cellStyleXfs>
  <cellXfs count="216">
    <xf numFmtId="0" fontId="0" fillId="0" borderId="0" xfId="0"/>
    <xf numFmtId="0" fontId="2" fillId="0" borderId="0" xfId="0" applyFont="1"/>
    <xf numFmtId="9" fontId="0" fillId="0" borderId="0" xfId="2" applyFont="1"/>
    <xf numFmtId="164" fontId="0" fillId="0" borderId="0" xfId="1" applyNumberFormat="1" applyFont="1"/>
    <xf numFmtId="165" fontId="0" fillId="0" borderId="0" xfId="2" applyNumberFormat="1" applyFont="1"/>
    <xf numFmtId="10" fontId="0" fillId="0" borderId="0" xfId="2" applyNumberFormat="1" applyFont="1"/>
    <xf numFmtId="165" fontId="0" fillId="0" borderId="0" xfId="0" applyNumberFormat="1"/>
    <xf numFmtId="0" fontId="0" fillId="0" borderId="1" xfId="0" applyBorder="1"/>
    <xf numFmtId="164" fontId="0" fillId="0" borderId="0" xfId="0" applyNumberFormat="1"/>
    <xf numFmtId="2" fontId="0" fillId="0" borderId="0" xfId="0" applyNumberFormat="1"/>
    <xf numFmtId="164" fontId="0" fillId="0" borderId="0" xfId="1" applyNumberFormat="1" applyFont="1" applyBorder="1"/>
    <xf numFmtId="164" fontId="0" fillId="0" borderId="0" xfId="0" applyNumberFormat="1" applyBorder="1"/>
    <xf numFmtId="0" fontId="0" fillId="0" borderId="0" xfId="0" applyBorder="1"/>
    <xf numFmtId="0" fontId="0" fillId="0" borderId="1" xfId="0" applyFill="1" applyBorder="1"/>
    <xf numFmtId="0" fontId="0" fillId="0" borderId="0" xfId="0" applyFill="1"/>
    <xf numFmtId="165" fontId="0" fillId="0" borderId="0" xfId="2" applyNumberFormat="1" applyFont="1" applyFill="1"/>
    <xf numFmtId="164" fontId="0" fillId="0" borderId="0" xfId="1" applyNumberFormat="1" applyFont="1" applyFill="1"/>
    <xf numFmtId="0" fontId="0" fillId="0" borderId="4" xfId="0" applyBorder="1"/>
    <xf numFmtId="165" fontId="0" fillId="0" borderId="4" xfId="2" applyNumberFormat="1" applyFont="1" applyBorder="1"/>
    <xf numFmtId="164" fontId="0" fillId="0" borderId="4" xfId="1" applyNumberFormat="1" applyFont="1" applyFill="1" applyBorder="1"/>
    <xf numFmtId="164" fontId="0" fillId="0" borderId="4" xfId="0" applyNumberFormat="1" applyFill="1" applyBorder="1"/>
    <xf numFmtId="14" fontId="0" fillId="0" borderId="0" xfId="0" applyNumberFormat="1"/>
    <xf numFmtId="164" fontId="0" fillId="0" borderId="4" xfId="0" applyNumberFormat="1" applyBorder="1"/>
    <xf numFmtId="164" fontId="0" fillId="0" borderId="5" xfId="0" applyNumberFormat="1" applyBorder="1"/>
    <xf numFmtId="0" fontId="0" fillId="0" borderId="7" xfId="0" applyBorder="1" applyAlignment="1">
      <alignment horizontal="left" wrapText="1"/>
    </xf>
    <xf numFmtId="0" fontId="0" fillId="0" borderId="7" xfId="0" applyBorder="1"/>
    <xf numFmtId="0" fontId="0" fillId="0" borderId="8" xfId="0" applyBorder="1" applyAlignment="1">
      <alignment horizontal="left" wrapText="1"/>
    </xf>
    <xf numFmtId="9" fontId="0" fillId="0" borderId="8" xfId="0" applyNumberFormat="1" applyBorder="1"/>
    <xf numFmtId="10" fontId="0" fillId="0" borderId="0" xfId="0" applyNumberFormat="1"/>
    <xf numFmtId="165" fontId="0" fillId="0" borderId="8" xfId="2" applyNumberFormat="1" applyFont="1" applyBorder="1"/>
    <xf numFmtId="165" fontId="0" fillId="0" borderId="8" xfId="0" applyNumberFormat="1" applyBorder="1"/>
    <xf numFmtId="0" fontId="3" fillId="0" borderId="0" xfId="0" applyFont="1"/>
    <xf numFmtId="164" fontId="0" fillId="0" borderId="5" xfId="1" applyNumberFormat="1" applyFont="1" applyBorder="1"/>
    <xf numFmtId="14" fontId="0" fillId="0" borderId="6" xfId="1" applyNumberFormat="1" applyFont="1" applyFill="1" applyBorder="1"/>
    <xf numFmtId="0" fontId="2" fillId="0" borderId="4" xfId="0" applyFont="1" applyBorder="1"/>
    <xf numFmtId="0" fontId="0" fillId="0" borderId="4" xfId="0" applyBorder="1" applyAlignment="1">
      <alignment horizontal="left" wrapText="1"/>
    </xf>
    <xf numFmtId="164" fontId="0" fillId="0" borderId="4" xfId="1" applyNumberFormat="1" applyFont="1" applyBorder="1" applyAlignment="1">
      <alignment horizontal="left" wrapText="1"/>
    </xf>
    <xf numFmtId="0" fontId="4" fillId="0" borderId="0" xfId="0" applyFont="1"/>
    <xf numFmtId="164" fontId="4" fillId="0" borderId="0" xfId="0" applyNumberFormat="1" applyFont="1"/>
    <xf numFmtId="164" fontId="0" fillId="0" borderId="0" xfId="1" applyNumberFormat="1" applyFont="1" applyFill="1" applyBorder="1" applyAlignment="1">
      <alignment horizontal="left" wrapText="1"/>
    </xf>
    <xf numFmtId="0" fontId="0" fillId="0" borderId="0" xfId="0" applyFill="1" applyBorder="1"/>
    <xf numFmtId="0" fontId="0" fillId="0" borderId="0" xfId="0" applyFill="1" applyBorder="1" applyAlignment="1">
      <alignment horizontal="left" wrapText="1"/>
    </xf>
    <xf numFmtId="164" fontId="0" fillId="0" borderId="0" xfId="0" applyNumberFormat="1" applyFill="1" applyBorder="1"/>
    <xf numFmtId="164" fontId="0" fillId="0" borderId="0" xfId="1" applyNumberFormat="1" applyFont="1" applyFill="1" applyBorder="1"/>
    <xf numFmtId="0" fontId="5" fillId="0" borderId="0" xfId="0" applyFont="1"/>
    <xf numFmtId="14" fontId="5" fillId="0" borderId="0" xfId="0" applyNumberFormat="1" applyFont="1"/>
    <xf numFmtId="2" fontId="5" fillId="0" borderId="0" xfId="0" applyNumberFormat="1" applyFont="1"/>
    <xf numFmtId="164" fontId="5" fillId="0" borderId="0" xfId="1" applyNumberFormat="1" applyFont="1"/>
    <xf numFmtId="164" fontId="5" fillId="0" borderId="0" xfId="0" applyNumberFormat="1" applyFont="1"/>
    <xf numFmtId="164" fontId="5" fillId="0" borderId="0" xfId="0" applyNumberFormat="1" applyFont="1" applyFill="1" applyBorder="1"/>
    <xf numFmtId="164" fontId="5" fillId="0" borderId="0" xfId="1" applyNumberFormat="1" applyFont="1" applyFill="1"/>
    <xf numFmtId="0" fontId="2" fillId="0" borderId="5" xfId="0" applyFont="1" applyBorder="1"/>
    <xf numFmtId="166" fontId="0" fillId="0" borderId="5" xfId="0" applyNumberFormat="1" applyBorder="1"/>
    <xf numFmtId="164" fontId="0" fillId="0" borderId="5" xfId="0" applyNumberFormat="1" applyFill="1" applyBorder="1"/>
    <xf numFmtId="0" fontId="2" fillId="0" borderId="0" xfId="0" applyFont="1" applyBorder="1"/>
    <xf numFmtId="164" fontId="2" fillId="0" borderId="0" xfId="0" applyNumberFormat="1" applyFont="1" applyBorder="1"/>
    <xf numFmtId="164" fontId="2" fillId="0" borderId="0" xfId="1" applyNumberFormat="1" applyFont="1"/>
    <xf numFmtId="164" fontId="2" fillId="0" borderId="0" xfId="0" applyNumberFormat="1" applyFont="1"/>
    <xf numFmtId="164" fontId="2" fillId="0" borderId="0" xfId="0" applyNumberFormat="1" applyFont="1" applyFill="1" applyBorder="1"/>
    <xf numFmtId="0" fontId="5" fillId="0" borderId="0" xfId="0" applyFont="1" applyFill="1"/>
    <xf numFmtId="14" fontId="5" fillId="0" borderId="0" xfId="0" applyNumberFormat="1" applyFont="1" applyFill="1"/>
    <xf numFmtId="2" fontId="5" fillId="0" borderId="0" xfId="0" applyNumberFormat="1" applyFont="1" applyFill="1"/>
    <xf numFmtId="164" fontId="5" fillId="0" borderId="0" xfId="0" applyNumberFormat="1" applyFont="1" applyFill="1"/>
    <xf numFmtId="0" fontId="9" fillId="0" borderId="0" xfId="0" applyFont="1"/>
    <xf numFmtId="0" fontId="10" fillId="0" borderId="0" xfId="0" applyFont="1"/>
    <xf numFmtId="0" fontId="10" fillId="0" borderId="0" xfId="0" applyFont="1" applyFill="1"/>
    <xf numFmtId="0" fontId="9" fillId="0" borderId="0" xfId="0" applyFont="1" applyFill="1"/>
    <xf numFmtId="0" fontId="9" fillId="0" borderId="4" xfId="0" applyFont="1" applyBorder="1"/>
    <xf numFmtId="0" fontId="0" fillId="0" borderId="4" xfId="0" applyBorder="1" applyAlignment="1">
      <alignment horizontal="center" wrapText="1"/>
    </xf>
    <xf numFmtId="0" fontId="0" fillId="0" borderId="0" xfId="0" applyAlignment="1">
      <alignment horizontal="center"/>
    </xf>
    <xf numFmtId="165" fontId="0" fillId="0" borderId="0" xfId="2" applyNumberFormat="1" applyFont="1" applyAlignment="1">
      <alignment horizontal="center"/>
    </xf>
    <xf numFmtId="0" fontId="0" fillId="0" borderId="0" xfId="0" applyFill="1" applyAlignment="1">
      <alignment horizontal="center"/>
    </xf>
    <xf numFmtId="165" fontId="0" fillId="0" borderId="0" xfId="2" applyNumberFormat="1" applyFont="1" applyFill="1" applyAlignment="1">
      <alignment horizontal="center"/>
    </xf>
    <xf numFmtId="0" fontId="0" fillId="0" borderId="4" xfId="0" applyBorder="1" applyAlignment="1">
      <alignment horizontal="center"/>
    </xf>
    <xf numFmtId="165" fontId="0" fillId="0" borderId="4" xfId="2" applyNumberFormat="1" applyFont="1" applyBorder="1" applyAlignment="1">
      <alignment horizontal="center"/>
    </xf>
    <xf numFmtId="4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4" fontId="0" fillId="0" borderId="0" xfId="0" applyNumberFormat="1" applyFill="1" applyBorder="1" applyAlignment="1">
      <alignment horizontal="center"/>
    </xf>
    <xf numFmtId="168" fontId="0" fillId="0" borderId="0" xfId="0" applyNumberFormat="1" applyAlignment="1">
      <alignment horizontal="center"/>
    </xf>
    <xf numFmtId="168" fontId="0" fillId="0" borderId="0" xfId="0" applyNumberFormat="1" applyFill="1" applyBorder="1" applyAlignment="1">
      <alignment horizontal="center"/>
    </xf>
    <xf numFmtId="0" fontId="9" fillId="0" borderId="0" xfId="0" applyFont="1" applyFill="1" applyBorder="1"/>
    <xf numFmtId="3" fontId="0" fillId="0" borderId="0" xfId="1" applyNumberFormat="1" applyFont="1" applyAlignment="1">
      <alignment horizontal="center"/>
    </xf>
    <xf numFmtId="3" fontId="0" fillId="0" borderId="0" xfId="0" applyNumberFormat="1" applyFill="1" applyBorder="1" applyAlignment="1">
      <alignment horizontal="center"/>
    </xf>
    <xf numFmtId="3" fontId="0" fillId="0" borderId="0" xfId="0" applyNumberFormat="1" applyAlignment="1">
      <alignment horizontal="center"/>
    </xf>
    <xf numFmtId="10" fontId="0" fillId="0" borderId="0" xfId="0" applyNumberFormat="1" applyAlignment="1">
      <alignment horizontal="center"/>
    </xf>
    <xf numFmtId="0" fontId="2" fillId="0" borderId="4" xfId="0" applyFont="1" applyBorder="1" applyAlignment="1">
      <alignment horizontal="center" wrapText="1"/>
    </xf>
    <xf numFmtId="164" fontId="0" fillId="0" borderId="4" xfId="1" applyNumberFormat="1" applyFont="1" applyBorder="1" applyAlignment="1">
      <alignment horizontal="center" wrapText="1"/>
    </xf>
    <xf numFmtId="0" fontId="0" fillId="0" borderId="4" xfId="0" applyFill="1" applyBorder="1" applyAlignment="1">
      <alignment horizontal="center" wrapText="1"/>
    </xf>
    <xf numFmtId="164" fontId="0" fillId="0" borderId="4" xfId="1" applyNumberFormat="1" applyFont="1" applyFill="1" applyBorder="1" applyAlignment="1">
      <alignment horizontal="center" wrapText="1"/>
    </xf>
    <xf numFmtId="0" fontId="2" fillId="0" borderId="2" xfId="0" applyFont="1" applyBorder="1" applyAlignment="1">
      <alignment horizontal="center" vertical="center"/>
    </xf>
    <xf numFmtId="4" fontId="0" fillId="0" borderId="0" xfId="0" quotePrefix="1" applyNumberFormat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164" fontId="13" fillId="0" borderId="0" xfId="1" applyNumberFormat="1" applyFont="1" applyFill="1" applyBorder="1" applyAlignment="1">
      <alignment horizontal="left" wrapText="1"/>
    </xf>
    <xf numFmtId="164" fontId="13" fillId="0" borderId="0" xfId="1" applyNumberFormat="1" applyFont="1" applyFill="1" applyBorder="1"/>
    <xf numFmtId="164" fontId="13" fillId="0" borderId="0" xfId="0" applyNumberFormat="1" applyFont="1" applyFill="1" applyBorder="1"/>
    <xf numFmtId="0" fontId="13" fillId="0" borderId="0" xfId="0" applyFont="1" applyFill="1" applyBorder="1"/>
    <xf numFmtId="164" fontId="13" fillId="0" borderId="2" xfId="1" applyNumberFormat="1" applyFont="1" applyFill="1" applyBorder="1" applyAlignment="1">
      <alignment horizontal="center" vertical="center" wrapText="1"/>
    </xf>
    <xf numFmtId="164" fontId="13" fillId="0" borderId="5" xfId="0" applyNumberFormat="1" applyFont="1" applyFill="1" applyBorder="1"/>
    <xf numFmtId="164" fontId="13" fillId="0" borderId="0" xfId="1" applyNumberFormat="1" applyFont="1" applyFill="1" applyBorder="1" applyAlignment="1">
      <alignment horizontal="center" wrapText="1"/>
    </xf>
    <xf numFmtId="0" fontId="9" fillId="0" borderId="1" xfId="0" applyFont="1" applyBorder="1"/>
    <xf numFmtId="0" fontId="9" fillId="0" borderId="5" xfId="0" applyFont="1" applyBorder="1"/>
    <xf numFmtId="0" fontId="9" fillId="0" borderId="2" xfId="0" applyFont="1" applyBorder="1"/>
    <xf numFmtId="164" fontId="5" fillId="3" borderId="0" xfId="1" applyNumberFormat="1" applyFont="1" applyFill="1"/>
    <xf numFmtId="164" fontId="0" fillId="3" borderId="5" xfId="1" applyNumberFormat="1" applyFont="1" applyFill="1" applyBorder="1"/>
    <xf numFmtId="164" fontId="2" fillId="3" borderId="2" xfId="1" applyNumberFormat="1" applyFont="1" applyFill="1" applyBorder="1" applyAlignment="1">
      <alignment horizontal="center" vertical="center" wrapText="1"/>
    </xf>
    <xf numFmtId="164" fontId="0" fillId="3" borderId="0" xfId="1" applyNumberFormat="1" applyFont="1" applyFill="1"/>
    <xf numFmtId="164" fontId="0" fillId="3" borderId="4" xfId="1" applyNumberFormat="1" applyFont="1" applyFill="1" applyBorder="1"/>
    <xf numFmtId="164" fontId="2" fillId="4" borderId="2" xfId="1" applyNumberFormat="1" applyFont="1" applyFill="1" applyBorder="1" applyAlignment="1">
      <alignment horizontal="center" vertical="center" wrapText="1"/>
    </xf>
    <xf numFmtId="164" fontId="0" fillId="4" borderId="0" xfId="1" applyNumberFormat="1" applyFont="1" applyFill="1"/>
    <xf numFmtId="164" fontId="0" fillId="4" borderId="4" xfId="1" applyNumberFormat="1" applyFont="1" applyFill="1" applyBorder="1"/>
    <xf numFmtId="164" fontId="5" fillId="4" borderId="0" xfId="1" applyNumberFormat="1" applyFont="1" applyFill="1"/>
    <xf numFmtId="164" fontId="0" fillId="4" borderId="5" xfId="0" applyNumberFormat="1" applyFill="1" applyBorder="1"/>
    <xf numFmtId="164" fontId="2" fillId="5" borderId="2" xfId="1" applyNumberFormat="1" applyFont="1" applyFill="1" applyBorder="1" applyAlignment="1">
      <alignment horizontal="center" vertical="center" wrapText="1"/>
    </xf>
    <xf numFmtId="164" fontId="0" fillId="5" borderId="0" xfId="0" applyNumberFormat="1" applyFill="1"/>
    <xf numFmtId="164" fontId="0" fillId="5" borderId="4" xfId="0" applyNumberFormat="1" applyFill="1" applyBorder="1"/>
    <xf numFmtId="164" fontId="0" fillId="5" borderId="0" xfId="1" applyNumberFormat="1" applyFont="1" applyFill="1"/>
    <xf numFmtId="164" fontId="5" fillId="5" borderId="0" xfId="0" applyNumberFormat="1" applyFont="1" applyFill="1"/>
    <xf numFmtId="164" fontId="0" fillId="5" borderId="5" xfId="0" applyNumberFormat="1" applyFill="1" applyBorder="1"/>
    <xf numFmtId="0" fontId="2" fillId="6" borderId="2" xfId="0" applyFont="1" applyFill="1" applyBorder="1" applyAlignment="1">
      <alignment horizontal="center" vertical="center" wrapText="1"/>
    </xf>
    <xf numFmtId="164" fontId="0" fillId="6" borderId="0" xfId="0" applyNumberFormat="1" applyFill="1"/>
    <xf numFmtId="164" fontId="0" fillId="6" borderId="5" xfId="0" applyNumberFormat="1" applyFill="1" applyBorder="1"/>
    <xf numFmtId="164" fontId="5" fillId="6" borderId="0" xfId="0" applyNumberFormat="1" applyFont="1" applyFill="1"/>
    <xf numFmtId="0" fontId="2" fillId="7" borderId="2" xfId="0" applyFont="1" applyFill="1" applyBorder="1" applyAlignment="1">
      <alignment horizontal="center" vertical="center" wrapText="1"/>
    </xf>
    <xf numFmtId="164" fontId="0" fillId="7" borderId="0" xfId="0" applyNumberFormat="1" applyFill="1" applyBorder="1"/>
    <xf numFmtId="164" fontId="0" fillId="7" borderId="4" xfId="0" applyNumberFormat="1" applyFill="1" applyBorder="1"/>
    <xf numFmtId="164" fontId="0" fillId="7" borderId="0" xfId="1" applyNumberFormat="1" applyFont="1" applyFill="1" applyBorder="1"/>
    <xf numFmtId="164" fontId="5" fillId="7" borderId="0" xfId="0" applyNumberFormat="1" applyFont="1" applyFill="1" applyBorder="1"/>
    <xf numFmtId="164" fontId="0" fillId="7" borderId="5" xfId="0" applyNumberFormat="1" applyFill="1" applyBorder="1"/>
    <xf numFmtId="164" fontId="2" fillId="8" borderId="2" xfId="1" applyNumberFormat="1" applyFont="1" applyFill="1" applyBorder="1" applyAlignment="1">
      <alignment horizontal="center" vertical="center" wrapText="1"/>
    </xf>
    <xf numFmtId="164" fontId="0" fillId="8" borderId="0" xfId="1" applyNumberFormat="1" applyFont="1" applyFill="1" applyBorder="1"/>
    <xf numFmtId="164" fontId="0" fillId="8" borderId="0" xfId="1" applyNumberFormat="1" applyFont="1" applyFill="1" applyBorder="1" applyAlignment="1">
      <alignment horizontal="left" wrapText="1"/>
    </xf>
    <xf numFmtId="164" fontId="0" fillId="8" borderId="5" xfId="0" applyNumberFormat="1" applyFill="1" applyBorder="1"/>
    <xf numFmtId="0" fontId="2" fillId="0" borderId="2" xfId="0" applyFont="1" applyBorder="1" applyAlignment="1">
      <alignment vertical="center"/>
    </xf>
    <xf numFmtId="0" fontId="2" fillId="5" borderId="2" xfId="0" applyFont="1" applyFill="1" applyBorder="1" applyAlignment="1">
      <alignment horizontal="center" vertical="center" wrapText="1"/>
    </xf>
    <xf numFmtId="0" fontId="2" fillId="9" borderId="2" xfId="0" applyFont="1" applyFill="1" applyBorder="1" applyAlignment="1">
      <alignment horizontal="center" vertical="center" wrapText="1"/>
    </xf>
    <xf numFmtId="0" fontId="0" fillId="9" borderId="0" xfId="0" applyFill="1" applyAlignment="1">
      <alignment horizontal="center"/>
    </xf>
    <xf numFmtId="165" fontId="0" fillId="9" borderId="0" xfId="2" applyNumberFormat="1" applyFont="1" applyFill="1" applyAlignment="1">
      <alignment horizontal="center"/>
    </xf>
    <xf numFmtId="168" fontId="0" fillId="9" borderId="0" xfId="0" applyNumberFormat="1" applyFill="1" applyAlignment="1">
      <alignment horizontal="center"/>
    </xf>
    <xf numFmtId="165" fontId="0" fillId="9" borderId="0" xfId="0" applyNumberFormat="1" applyFill="1" applyAlignment="1">
      <alignment horizontal="center"/>
    </xf>
    <xf numFmtId="0" fontId="0" fillId="9" borderId="4" xfId="0" applyFill="1" applyBorder="1" applyAlignment="1">
      <alignment horizontal="center"/>
    </xf>
    <xf numFmtId="165" fontId="0" fillId="9" borderId="4" xfId="2" applyNumberFormat="1" applyFont="1" applyFill="1" applyBorder="1" applyAlignment="1">
      <alignment horizontal="center"/>
    </xf>
    <xf numFmtId="168" fontId="0" fillId="9" borderId="4" xfId="0" applyNumberFormat="1" applyFill="1" applyBorder="1" applyAlignment="1">
      <alignment horizontal="center"/>
    </xf>
    <xf numFmtId="165" fontId="0" fillId="9" borderId="4" xfId="0" applyNumberFormat="1" applyFill="1" applyBorder="1" applyAlignment="1">
      <alignment horizontal="center"/>
    </xf>
    <xf numFmtId="9" fontId="0" fillId="0" borderId="0" xfId="0" applyNumberFormat="1" applyFill="1" applyBorder="1"/>
    <xf numFmtId="165" fontId="13" fillId="0" borderId="0" xfId="1" applyNumberFormat="1" applyFont="1" applyFill="1" applyBorder="1" applyAlignment="1">
      <alignment horizontal="center"/>
    </xf>
    <xf numFmtId="165" fontId="13" fillId="0" borderId="5" xfId="0" applyNumberFormat="1" applyFont="1" applyFill="1" applyBorder="1" applyAlignment="1">
      <alignment horizontal="center"/>
    </xf>
    <xf numFmtId="164" fontId="0" fillId="0" borderId="0" xfId="1" applyNumberFormat="1" applyFont="1" applyFill="1" applyBorder="1" applyAlignment="1">
      <alignment horizontal="center" wrapText="1"/>
    </xf>
    <xf numFmtId="14" fontId="0" fillId="0" borderId="0" xfId="1" applyNumberFormat="1" applyFont="1" applyFill="1" applyBorder="1"/>
    <xf numFmtId="164" fontId="2" fillId="0" borderId="4" xfId="1" applyNumberFormat="1" applyFont="1" applyBorder="1" applyAlignment="1">
      <alignment horizontal="center" wrapText="1"/>
    </xf>
    <xf numFmtId="0" fontId="2" fillId="0" borderId="4" xfId="0" applyFont="1" applyFill="1" applyBorder="1" applyAlignment="1">
      <alignment horizontal="center" wrapText="1"/>
    </xf>
    <xf numFmtId="164" fontId="2" fillId="0" borderId="4" xfId="1" applyNumberFormat="1" applyFont="1" applyFill="1" applyBorder="1" applyAlignment="1">
      <alignment horizontal="center" wrapText="1"/>
    </xf>
    <xf numFmtId="0" fontId="11" fillId="0" borderId="0" xfId="0" applyFont="1" applyAlignment="1">
      <alignment horizontal="center"/>
    </xf>
    <xf numFmtId="164" fontId="0" fillId="0" borderId="0" xfId="1" applyNumberFormat="1" applyFont="1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0" xfId="0" applyNumberFormat="1" applyFill="1" applyBorder="1" applyAlignment="1">
      <alignment horizontal="center"/>
    </xf>
    <xf numFmtId="164" fontId="0" fillId="0" borderId="0" xfId="1" applyNumberFormat="1" applyFont="1" applyFill="1" applyBorder="1" applyAlignment="1">
      <alignment horizontal="center"/>
    </xf>
    <xf numFmtId="164" fontId="0" fillId="0" borderId="0" xfId="1" applyNumberFormat="1" applyFont="1" applyFill="1" applyAlignment="1">
      <alignment horizontal="center"/>
    </xf>
    <xf numFmtId="164" fontId="0" fillId="0" borderId="4" xfId="1" applyNumberFormat="1" applyFont="1" applyFill="1" applyBorder="1" applyAlignment="1">
      <alignment horizontal="center"/>
    </xf>
    <xf numFmtId="164" fontId="0" fillId="0" borderId="4" xfId="0" applyNumberFormat="1" applyBorder="1" applyAlignment="1">
      <alignment horizontal="center"/>
    </xf>
    <xf numFmtId="164" fontId="0" fillId="0" borderId="4" xfId="0" applyNumberFormat="1" applyFill="1" applyBorder="1" applyAlignment="1">
      <alignment horizontal="center"/>
    </xf>
    <xf numFmtId="164" fontId="0" fillId="0" borderId="5" xfId="0" applyNumberFormat="1" applyBorder="1" applyAlignment="1">
      <alignment horizontal="center"/>
    </xf>
    <xf numFmtId="0" fontId="0" fillId="0" borderId="0" xfId="0" applyFill="1" applyBorder="1" applyAlignment="1">
      <alignment horizontal="center"/>
    </xf>
    <xf numFmtId="10" fontId="0" fillId="0" borderId="0" xfId="2" applyNumberFormat="1" applyFont="1" applyAlignment="1">
      <alignment horizontal="center"/>
    </xf>
    <xf numFmtId="0" fontId="0" fillId="0" borderId="0" xfId="0" applyFill="1" applyBorder="1" applyAlignment="1">
      <alignment horizontal="center" wrapText="1"/>
    </xf>
    <xf numFmtId="14" fontId="0" fillId="0" borderId="0" xfId="0" applyNumberFormat="1" applyAlignment="1">
      <alignment horizontal="center"/>
    </xf>
    <xf numFmtId="14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2" fontId="5" fillId="0" borderId="0" xfId="0" applyNumberFormat="1" applyFont="1" applyAlignment="1">
      <alignment horizontal="center"/>
    </xf>
    <xf numFmtId="164" fontId="5" fillId="0" borderId="0" xfId="1" applyNumberFormat="1" applyFont="1" applyAlignment="1">
      <alignment horizontal="center"/>
    </xf>
    <xf numFmtId="164" fontId="5" fillId="0" borderId="0" xfId="1" applyNumberFormat="1" applyFont="1" applyFill="1" applyAlignment="1">
      <alignment horizontal="center"/>
    </xf>
    <xf numFmtId="164" fontId="5" fillId="0" borderId="0" xfId="0" applyNumberFormat="1" applyFont="1" applyFill="1" applyAlignment="1">
      <alignment horizontal="center"/>
    </xf>
    <xf numFmtId="164" fontId="5" fillId="0" borderId="0" xfId="0" applyNumberFormat="1" applyFont="1" applyFill="1" applyBorder="1" applyAlignment="1">
      <alignment horizontal="center"/>
    </xf>
    <xf numFmtId="14" fontId="5" fillId="0" borderId="0" xfId="0" applyNumberFormat="1" applyFont="1" applyFill="1" applyAlignment="1">
      <alignment horizontal="center"/>
    </xf>
    <xf numFmtId="0" fontId="5" fillId="0" borderId="0" xfId="0" applyFont="1" applyFill="1" applyAlignment="1">
      <alignment horizontal="center"/>
    </xf>
    <xf numFmtId="2" fontId="5" fillId="0" borderId="0" xfId="0" applyNumberFormat="1" applyFont="1" applyFill="1" applyAlignment="1">
      <alignment horizontal="center"/>
    </xf>
    <xf numFmtId="164" fontId="5" fillId="0" borderId="0" xfId="0" applyNumberFormat="1" applyFont="1" applyAlignment="1">
      <alignment horizontal="center"/>
    </xf>
    <xf numFmtId="166" fontId="0" fillId="0" borderId="5" xfId="0" applyNumberFormat="1" applyBorder="1" applyAlignment="1">
      <alignment horizontal="center"/>
    </xf>
    <xf numFmtId="164" fontId="0" fillId="0" borderId="5" xfId="1" applyNumberFormat="1" applyFont="1" applyBorder="1" applyAlignment="1">
      <alignment horizontal="center"/>
    </xf>
    <xf numFmtId="164" fontId="0" fillId="0" borderId="5" xfId="0" applyNumberFormat="1" applyFill="1" applyBorder="1" applyAlignment="1">
      <alignment horizontal="center"/>
    </xf>
    <xf numFmtId="4" fontId="9" fillId="0" borderId="0" xfId="0" applyNumberFormat="1" applyFont="1" applyAlignment="1">
      <alignment horizontal="center"/>
    </xf>
    <xf numFmtId="165" fontId="9" fillId="0" borderId="0" xfId="0" applyNumberFormat="1" applyFont="1" applyAlignment="1">
      <alignment horizontal="center"/>
    </xf>
    <xf numFmtId="3" fontId="9" fillId="0" borderId="0" xfId="1" applyNumberFormat="1" applyFont="1" applyAlignment="1">
      <alignment horizontal="center"/>
    </xf>
    <xf numFmtId="3" fontId="9" fillId="0" borderId="0" xfId="0" applyNumberFormat="1" applyFont="1" applyFill="1" applyBorder="1" applyAlignment="1">
      <alignment horizontal="center"/>
    </xf>
    <xf numFmtId="168" fontId="9" fillId="0" borderId="0" xfId="0" applyNumberFormat="1" applyFont="1" applyFill="1" applyBorder="1" applyAlignment="1">
      <alignment horizontal="center"/>
    </xf>
    <xf numFmtId="3" fontId="9" fillId="0" borderId="0" xfId="0" applyNumberFormat="1" applyFont="1" applyAlignment="1">
      <alignment horizontal="center"/>
    </xf>
    <xf numFmtId="10" fontId="9" fillId="0" borderId="0" xfId="0" applyNumberFormat="1" applyFont="1" applyAlignment="1">
      <alignment horizontal="center"/>
    </xf>
    <xf numFmtId="167" fontId="9" fillId="0" borderId="0" xfId="0" applyNumberFormat="1" applyFont="1" applyAlignment="1">
      <alignment horizontal="center"/>
    </xf>
    <xf numFmtId="168" fontId="9" fillId="0" borderId="0" xfId="0" applyNumberFormat="1" applyFont="1" applyAlignment="1">
      <alignment horizontal="center"/>
    </xf>
    <xf numFmtId="167" fontId="9" fillId="0" borderId="0" xfId="0" quotePrefix="1" applyNumberFormat="1" applyFont="1" applyAlignment="1">
      <alignment horizontal="center"/>
    </xf>
    <xf numFmtId="4" fontId="9" fillId="0" borderId="0" xfId="0" quotePrefix="1" applyNumberFormat="1" applyFont="1" applyAlignment="1">
      <alignment horizontal="center"/>
    </xf>
    <xf numFmtId="4" fontId="12" fillId="0" borderId="0" xfId="0" applyNumberFormat="1" applyFont="1" applyFill="1" applyBorder="1"/>
    <xf numFmtId="4" fontId="12" fillId="0" borderId="0" xfId="0" applyNumberFormat="1" applyFont="1" applyFill="1"/>
    <xf numFmtId="165" fontId="11" fillId="9" borderId="0" xfId="2" applyNumberFormat="1" applyFont="1" applyFill="1" applyAlignment="1">
      <alignment horizontal="center"/>
    </xf>
    <xf numFmtId="0" fontId="14" fillId="9" borderId="2" xfId="0" applyFont="1" applyFill="1" applyBorder="1" applyAlignment="1">
      <alignment horizontal="center" vertical="center" wrapText="1"/>
    </xf>
    <xf numFmtId="0" fontId="11" fillId="9" borderId="0" xfId="0" applyFont="1" applyFill="1" applyAlignment="1">
      <alignment horizontal="center"/>
    </xf>
    <xf numFmtId="3" fontId="15" fillId="0" borderId="5" xfId="0" applyNumberFormat="1" applyFont="1" applyFill="1" applyBorder="1" applyAlignment="1">
      <alignment horizontal="center"/>
    </xf>
    <xf numFmtId="167" fontId="15" fillId="0" borderId="0" xfId="0" applyNumberFormat="1" applyFont="1" applyAlignment="1">
      <alignment horizontal="center"/>
    </xf>
    <xf numFmtId="0" fontId="16" fillId="2" borderId="0" xfId="3" applyFont="1" applyBorder="1"/>
    <xf numFmtId="167" fontId="16" fillId="2" borderId="0" xfId="3" quotePrefix="1" applyNumberFormat="1" applyFont="1" applyAlignment="1">
      <alignment horizontal="center"/>
    </xf>
    <xf numFmtId="4" fontId="16" fillId="2" borderId="0" xfId="3" quotePrefix="1" applyNumberFormat="1" applyFont="1" applyAlignment="1">
      <alignment horizontal="center"/>
    </xf>
    <xf numFmtId="167" fontId="17" fillId="2" borderId="0" xfId="3" quotePrefix="1" applyNumberFormat="1" applyFont="1" applyAlignment="1">
      <alignment horizontal="center"/>
    </xf>
    <xf numFmtId="169" fontId="0" fillId="0" borderId="2" xfId="1" applyNumberFormat="1" applyFont="1" applyFill="1" applyBorder="1" applyAlignment="1">
      <alignment horizontal="center"/>
    </xf>
    <xf numFmtId="169" fontId="0" fillId="0" borderId="3" xfId="1" applyNumberFormat="1" applyFont="1" applyFill="1" applyBorder="1" applyAlignment="1">
      <alignment horizontal="center"/>
    </xf>
    <xf numFmtId="3" fontId="0" fillId="0" borderId="2" xfId="1" applyNumberFormat="1" applyFont="1" applyBorder="1" applyAlignment="1">
      <alignment horizontal="center"/>
    </xf>
    <xf numFmtId="3" fontId="0" fillId="0" borderId="3" xfId="1" applyNumberFormat="1" applyFont="1" applyBorder="1" applyAlignment="1">
      <alignment horizontal="center"/>
    </xf>
    <xf numFmtId="14" fontId="0" fillId="0" borderId="4" xfId="1" applyNumberFormat="1" applyFont="1" applyFill="1" applyBorder="1" applyAlignment="1">
      <alignment horizontal="center"/>
    </xf>
    <xf numFmtId="14" fontId="0" fillId="0" borderId="9" xfId="1" applyNumberFormat="1" applyFont="1" applyFill="1" applyBorder="1" applyAlignment="1">
      <alignment horizontal="center"/>
    </xf>
    <xf numFmtId="164" fontId="0" fillId="0" borderId="2" xfId="1" applyNumberFormat="1" applyFont="1" applyFill="1" applyBorder="1" applyAlignment="1">
      <alignment horizontal="right"/>
    </xf>
    <xf numFmtId="164" fontId="0" fillId="0" borderId="3" xfId="1" applyNumberFormat="1" applyFont="1" applyFill="1" applyBorder="1" applyAlignment="1">
      <alignment horizontal="right"/>
    </xf>
    <xf numFmtId="2" fontId="0" fillId="0" borderId="2" xfId="0" applyNumberFormat="1" applyBorder="1" applyAlignment="1">
      <alignment horizontal="right"/>
    </xf>
    <xf numFmtId="0" fontId="0" fillId="0" borderId="3" xfId="0" applyBorder="1" applyAlignment="1">
      <alignment horizontal="right"/>
    </xf>
    <xf numFmtId="164" fontId="0" fillId="0" borderId="2" xfId="1" applyNumberFormat="1" applyFont="1" applyBorder="1" applyAlignment="1">
      <alignment horizontal="right"/>
    </xf>
    <xf numFmtId="164" fontId="0" fillId="0" borderId="3" xfId="1" applyNumberFormat="1" applyFont="1" applyBorder="1" applyAlignment="1">
      <alignment horizontal="right"/>
    </xf>
    <xf numFmtId="164" fontId="0" fillId="0" borderId="0" xfId="1" applyNumberFormat="1" applyFont="1" applyAlignment="1">
      <alignment horizontal="right"/>
    </xf>
    <xf numFmtId="0" fontId="0" fillId="0" borderId="8" xfId="0" applyBorder="1" applyAlignment="1">
      <alignment horizontal="center"/>
    </xf>
    <xf numFmtId="0" fontId="0" fillId="0" borderId="7" xfId="0" applyBorder="1" applyAlignment="1">
      <alignment horizontal="center"/>
    </xf>
  </cellXfs>
  <cellStyles count="4">
    <cellStyle name="Currency" xfId="1" builtinId="4"/>
    <cellStyle name="Good" xfId="3" builtinId="26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7A084F-FABD-41AD-A420-B33155E5F1E0}">
  <sheetPr>
    <pageSetUpPr fitToPage="1"/>
  </sheetPr>
  <dimension ref="A1:Y60"/>
  <sheetViews>
    <sheetView showGridLines="0" workbookViewId="0">
      <selection activeCell="A4" sqref="A4"/>
    </sheetView>
  </sheetViews>
  <sheetFormatPr defaultRowHeight="15" x14ac:dyDescent="0.25"/>
  <cols>
    <col min="1" max="1" width="36.28515625" customWidth="1"/>
    <col min="2" max="2" width="12.28515625" customWidth="1"/>
    <col min="3" max="3" width="14.5703125" customWidth="1"/>
    <col min="4" max="4" width="11.28515625" style="3" customWidth="1"/>
    <col min="5" max="5" width="14.140625" style="3" customWidth="1"/>
    <col min="6" max="7" width="13.5703125" customWidth="1"/>
    <col min="8" max="8" width="13.5703125" bestFit="1" customWidth="1"/>
    <col min="9" max="9" width="16.140625" customWidth="1"/>
    <col min="10" max="10" width="15.85546875" style="40" customWidth="1"/>
    <col min="11" max="11" width="15" style="40" customWidth="1"/>
    <col min="12" max="12" width="15.140625" style="40" customWidth="1"/>
    <col min="13" max="13" width="15.42578125" style="40" customWidth="1"/>
    <col min="14" max="14" width="14.85546875" style="95" customWidth="1"/>
    <col min="15" max="15" width="13.28515625" style="40" bestFit="1" customWidth="1"/>
    <col min="16" max="16" width="12.42578125" style="40" customWidth="1"/>
    <col min="17" max="17" width="13.28515625" style="40" bestFit="1" customWidth="1"/>
    <col min="18" max="18" width="12.42578125" style="40" customWidth="1"/>
    <col min="19" max="19" width="15.5703125" style="40" customWidth="1"/>
    <col min="20" max="20" width="12.140625" style="40" customWidth="1"/>
    <col min="21" max="21" width="14.28515625" style="40" customWidth="1"/>
    <col min="22" max="23" width="9.140625" style="40"/>
  </cols>
  <sheetData>
    <row r="1" spans="1:23" x14ac:dyDescent="0.25">
      <c r="A1" s="1" t="s">
        <v>44</v>
      </c>
    </row>
    <row r="2" spans="1:23" x14ac:dyDescent="0.25">
      <c r="A2" s="40" t="s">
        <v>103</v>
      </c>
      <c r="E2"/>
      <c r="F2" s="40"/>
      <c r="G2" s="40"/>
      <c r="H2" s="40"/>
      <c r="I2" s="40"/>
      <c r="T2"/>
      <c r="U2"/>
      <c r="V2"/>
      <c r="W2"/>
    </row>
    <row r="3" spans="1:23" x14ac:dyDescent="0.25">
      <c r="A3" s="40" t="s">
        <v>105</v>
      </c>
      <c r="B3" s="14"/>
      <c r="C3" s="14"/>
      <c r="E3"/>
      <c r="F3" s="1" t="s">
        <v>44</v>
      </c>
      <c r="G3" s="40"/>
      <c r="H3" s="40"/>
      <c r="I3" s="40"/>
      <c r="T3"/>
      <c r="U3"/>
      <c r="V3"/>
      <c r="W3"/>
    </row>
    <row r="4" spans="1:23" x14ac:dyDescent="0.25">
      <c r="A4" s="40"/>
      <c r="B4" s="14"/>
      <c r="C4" s="14"/>
      <c r="D4" s="16"/>
      <c r="E4"/>
      <c r="F4" s="40" t="s">
        <v>95</v>
      </c>
      <c r="G4" s="40"/>
      <c r="H4" s="40"/>
      <c r="I4" s="40"/>
      <c r="T4"/>
      <c r="U4"/>
      <c r="V4"/>
      <c r="W4"/>
    </row>
    <row r="5" spans="1:23" x14ac:dyDescent="0.25">
      <c r="A5" s="99" t="s">
        <v>20</v>
      </c>
      <c r="B5" s="201">
        <v>43983223</v>
      </c>
      <c r="C5" s="202"/>
      <c r="D5" s="16"/>
      <c r="E5"/>
      <c r="F5" s="40" t="s">
        <v>99</v>
      </c>
      <c r="G5" s="40"/>
      <c r="H5" s="40"/>
      <c r="I5" s="40"/>
      <c r="U5"/>
      <c r="V5"/>
      <c r="W5"/>
    </row>
    <row r="6" spans="1:23" x14ac:dyDescent="0.25">
      <c r="A6" s="99" t="s">
        <v>21</v>
      </c>
      <c r="B6" s="201">
        <v>1883173</v>
      </c>
      <c r="C6" s="202"/>
      <c r="D6" s="16"/>
      <c r="F6" s="40" t="s">
        <v>98</v>
      </c>
      <c r="G6" s="8"/>
    </row>
    <row r="7" spans="1:23" x14ac:dyDescent="0.25">
      <c r="A7" s="100" t="s">
        <v>75</v>
      </c>
      <c r="B7" s="203">
        <v>2018</v>
      </c>
      <c r="C7" s="204"/>
    </row>
    <row r="8" spans="1:23" x14ac:dyDescent="0.25">
      <c r="A8" s="101" t="s">
        <v>37</v>
      </c>
      <c r="B8" s="205">
        <v>43465</v>
      </c>
      <c r="C8" s="206"/>
    </row>
    <row r="10" spans="1:23" ht="30" x14ac:dyDescent="0.25">
      <c r="A10" s="89" t="s">
        <v>24</v>
      </c>
      <c r="B10" s="134" t="s">
        <v>71</v>
      </c>
      <c r="C10" s="134" t="s">
        <v>93</v>
      </c>
      <c r="D10" s="134" t="s">
        <v>89</v>
      </c>
      <c r="E10" s="134" t="s">
        <v>78</v>
      </c>
      <c r="F10" s="134" t="s">
        <v>79</v>
      </c>
      <c r="G10" s="134" t="s">
        <v>80</v>
      </c>
      <c r="H10" s="104" t="s">
        <v>26</v>
      </c>
      <c r="I10" s="107" t="s">
        <v>27</v>
      </c>
      <c r="J10" s="112" t="s">
        <v>43</v>
      </c>
      <c r="K10" s="118" t="s">
        <v>45</v>
      </c>
      <c r="L10" s="122" t="s">
        <v>46</v>
      </c>
      <c r="M10" s="128" t="s">
        <v>47</v>
      </c>
      <c r="N10" s="96" t="s">
        <v>87</v>
      </c>
      <c r="O10" s="41"/>
      <c r="P10" s="39"/>
      <c r="Q10" s="41"/>
      <c r="R10" s="39"/>
      <c r="S10" s="41"/>
      <c r="T10" s="39"/>
      <c r="U10" s="41"/>
    </row>
    <row r="11" spans="1:23" x14ac:dyDescent="0.25">
      <c r="A11" s="63" t="s">
        <v>1</v>
      </c>
      <c r="B11" s="135">
        <v>1935</v>
      </c>
      <c r="C11" s="136">
        <v>0.3</v>
      </c>
      <c r="D11" s="135">
        <v>200</v>
      </c>
      <c r="E11" s="135">
        <f t="shared" ref="E11:E26" si="0">IF(D11-($B$7-B11)&gt;0,D11-($B$7-B11),0)</f>
        <v>117</v>
      </c>
      <c r="F11" s="137">
        <f t="shared" ref="F11:F26" si="1">E11/SUM($E$11:$E$26)*C11</f>
        <v>9.212598425196851E-2</v>
      </c>
      <c r="G11" s="138">
        <f t="shared" ref="G11:G26" si="2">F11/$F$27</f>
        <v>0.61959399823477501</v>
      </c>
      <c r="H11" s="105">
        <f>$B$5*G11</f>
        <v>27251740.993821714</v>
      </c>
      <c r="I11" s="108">
        <f t="shared" ref="I11:I26" si="3">G11*$B$6</f>
        <v>1166802.6884377759</v>
      </c>
      <c r="J11" s="113">
        <f t="shared" ref="J11:J26" si="4">H11-I11</f>
        <v>26084938.305383939</v>
      </c>
      <c r="K11" s="119">
        <f>IFERROR(H11/E11*-1,0)</f>
        <v>-232920.86319505738</v>
      </c>
      <c r="L11" s="123">
        <f>I11-K11</f>
        <v>1399723.5516328332</v>
      </c>
      <c r="M11" s="129">
        <f>J11+K11</f>
        <v>25852017.442188881</v>
      </c>
      <c r="N11" s="94">
        <f>K11*D11*-1</f>
        <v>46584172.639011472</v>
      </c>
      <c r="O11" s="42"/>
      <c r="P11" s="43"/>
      <c r="Q11" s="42"/>
      <c r="R11" s="43"/>
      <c r="S11" s="42"/>
      <c r="T11" s="43"/>
      <c r="U11" s="42"/>
    </row>
    <row r="12" spans="1:23" x14ac:dyDescent="0.25">
      <c r="A12" s="63" t="s">
        <v>2</v>
      </c>
      <c r="B12" s="135">
        <v>1935</v>
      </c>
      <c r="C12" s="136">
        <v>0.19</v>
      </c>
      <c r="D12" s="135">
        <v>150</v>
      </c>
      <c r="E12" s="135">
        <f t="shared" si="0"/>
        <v>67</v>
      </c>
      <c r="F12" s="137">
        <f t="shared" si="1"/>
        <v>3.3412073490813654E-2</v>
      </c>
      <c r="G12" s="138">
        <f t="shared" si="2"/>
        <v>0.22471315092674321</v>
      </c>
      <c r="H12" s="105">
        <f t="shared" ref="H12:H26" si="5">$B$5*G12</f>
        <v>9883608.6282436028</v>
      </c>
      <c r="I12" s="108">
        <f t="shared" si="3"/>
        <v>423173.7385701678</v>
      </c>
      <c r="J12" s="113">
        <f t="shared" si="4"/>
        <v>9460434.8896734342</v>
      </c>
      <c r="K12" s="119">
        <f t="shared" ref="K12:K26" si="6">IFERROR(H12/E12*-1,0)</f>
        <v>-147516.54669020302</v>
      </c>
      <c r="L12" s="123">
        <f t="shared" ref="L12:L26" si="7">I12-K12</f>
        <v>570690.28526037082</v>
      </c>
      <c r="M12" s="129">
        <f t="shared" ref="M12:M26" si="8">J12+K12</f>
        <v>9312918.3429832309</v>
      </c>
      <c r="N12" s="94">
        <f t="shared" ref="N12:N26" si="9">K12*D12*-1</f>
        <v>22127482.003530454</v>
      </c>
      <c r="O12" s="42"/>
      <c r="P12" s="43"/>
      <c r="Q12" s="42"/>
      <c r="R12" s="43"/>
      <c r="S12" s="42"/>
      <c r="T12" s="43"/>
      <c r="U12" s="42"/>
    </row>
    <row r="13" spans="1:23" x14ac:dyDescent="0.25">
      <c r="A13" s="63" t="s">
        <v>81</v>
      </c>
      <c r="B13" s="135">
        <v>1991</v>
      </c>
      <c r="C13" s="136">
        <v>0.04</v>
      </c>
      <c r="D13" s="135">
        <v>40</v>
      </c>
      <c r="E13" s="135">
        <f t="shared" si="0"/>
        <v>13</v>
      </c>
      <c r="F13" s="137">
        <f t="shared" si="1"/>
        <v>1.3648293963254593E-3</v>
      </c>
      <c r="G13" s="138">
        <f t="shared" si="2"/>
        <v>9.1791703442188882E-3</v>
      </c>
      <c r="H13" s="105">
        <f t="shared" si="5"/>
        <v>403729.4962047661</v>
      </c>
      <c r="I13" s="108">
        <f t="shared" si="3"/>
        <v>17285.965754633715</v>
      </c>
      <c r="J13" s="113">
        <f t="shared" si="4"/>
        <v>386443.53045013238</v>
      </c>
      <c r="K13" s="119">
        <f t="shared" si="6"/>
        <v>-31056.115092674314</v>
      </c>
      <c r="L13" s="123">
        <f t="shared" si="7"/>
        <v>48342.080847308025</v>
      </c>
      <c r="M13" s="129">
        <f t="shared" si="8"/>
        <v>355387.41535745806</v>
      </c>
      <c r="N13" s="94">
        <f t="shared" si="9"/>
        <v>1242244.6037069727</v>
      </c>
      <c r="O13" s="42"/>
      <c r="P13" s="43"/>
      <c r="Q13" s="42"/>
      <c r="R13" s="43"/>
      <c r="S13" s="42"/>
      <c r="T13" s="43"/>
      <c r="U13" s="42"/>
    </row>
    <row r="14" spans="1:23" x14ac:dyDescent="0.25">
      <c r="A14" s="64" t="s">
        <v>73</v>
      </c>
      <c r="B14" s="135">
        <v>1935</v>
      </c>
      <c r="C14" s="136">
        <v>0.02</v>
      </c>
      <c r="D14" s="135">
        <v>80</v>
      </c>
      <c r="E14" s="135">
        <f t="shared" si="0"/>
        <v>0</v>
      </c>
      <c r="F14" s="137">
        <f t="shared" si="1"/>
        <v>0</v>
      </c>
      <c r="G14" s="138">
        <f t="shared" si="2"/>
        <v>0</v>
      </c>
      <c r="H14" s="105">
        <f t="shared" si="5"/>
        <v>0</v>
      </c>
      <c r="I14" s="108">
        <f t="shared" si="3"/>
        <v>0</v>
      </c>
      <c r="J14" s="113">
        <f t="shared" si="4"/>
        <v>0</v>
      </c>
      <c r="K14" s="119">
        <f t="shared" si="6"/>
        <v>0</v>
      </c>
      <c r="L14" s="123">
        <f t="shared" si="7"/>
        <v>0</v>
      </c>
      <c r="M14" s="129">
        <f t="shared" si="8"/>
        <v>0</v>
      </c>
      <c r="N14" s="94">
        <f t="shared" si="9"/>
        <v>0</v>
      </c>
      <c r="O14" s="42"/>
      <c r="P14" s="43"/>
      <c r="Q14" s="42"/>
      <c r="R14" s="43"/>
      <c r="S14" s="42"/>
      <c r="T14" s="43"/>
      <c r="U14" s="42"/>
    </row>
    <row r="15" spans="1:23" x14ac:dyDescent="0.25">
      <c r="A15" s="64" t="s">
        <v>74</v>
      </c>
      <c r="B15" s="135">
        <v>1991</v>
      </c>
      <c r="C15" s="136">
        <v>0.03</v>
      </c>
      <c r="D15" s="135">
        <v>50</v>
      </c>
      <c r="E15" s="135">
        <f t="shared" si="0"/>
        <v>23</v>
      </c>
      <c r="F15" s="137">
        <f t="shared" si="1"/>
        <v>1.8110236220472439E-3</v>
      </c>
      <c r="G15" s="138">
        <f t="shared" si="2"/>
        <v>1.2180052956751985E-2</v>
      </c>
      <c r="H15" s="105">
        <f t="shared" si="5"/>
        <v>535717.98534863198</v>
      </c>
      <c r="I15" s="108">
        <f t="shared" si="3"/>
        <v>22937.146866725507</v>
      </c>
      <c r="J15" s="113">
        <f t="shared" si="4"/>
        <v>512780.83848190645</v>
      </c>
      <c r="K15" s="119">
        <f t="shared" si="6"/>
        <v>-23292.086319505739</v>
      </c>
      <c r="L15" s="123">
        <f t="shared" si="7"/>
        <v>46229.233186231242</v>
      </c>
      <c r="M15" s="129">
        <f t="shared" si="8"/>
        <v>489488.75216240069</v>
      </c>
      <c r="N15" s="94">
        <f t="shared" si="9"/>
        <v>1164604.315975287</v>
      </c>
      <c r="O15" s="42"/>
      <c r="P15" s="43"/>
      <c r="Q15" s="42"/>
      <c r="R15" s="43"/>
      <c r="S15" s="42"/>
      <c r="T15" s="43"/>
      <c r="U15" s="42"/>
    </row>
    <row r="16" spans="1:23" x14ac:dyDescent="0.25">
      <c r="A16" s="64" t="s">
        <v>82</v>
      </c>
      <c r="B16" s="135">
        <v>1991</v>
      </c>
      <c r="C16" s="136">
        <v>0.03</v>
      </c>
      <c r="D16" s="135">
        <v>40</v>
      </c>
      <c r="E16" s="135">
        <f t="shared" si="0"/>
        <v>13</v>
      </c>
      <c r="F16" s="137">
        <f t="shared" si="1"/>
        <v>1.0236220472440943E-3</v>
      </c>
      <c r="G16" s="138">
        <f t="shared" si="2"/>
        <v>6.8843777581641657E-3</v>
      </c>
      <c r="H16" s="105">
        <f t="shared" si="5"/>
        <v>302797.12215357454</v>
      </c>
      <c r="I16" s="108">
        <f t="shared" si="3"/>
        <v>12964.474315975287</v>
      </c>
      <c r="J16" s="113">
        <f t="shared" si="4"/>
        <v>289832.64783759927</v>
      </c>
      <c r="K16" s="119">
        <f t="shared" si="6"/>
        <v>-23292.086319505735</v>
      </c>
      <c r="L16" s="123">
        <f t="shared" si="7"/>
        <v>36256.560635481022</v>
      </c>
      <c r="M16" s="129">
        <f t="shared" si="8"/>
        <v>266540.56151809351</v>
      </c>
      <c r="N16" s="94">
        <f t="shared" si="9"/>
        <v>931683.45278022939</v>
      </c>
      <c r="O16" s="42"/>
      <c r="P16" s="43"/>
      <c r="Q16" s="42"/>
      <c r="R16" s="43"/>
      <c r="S16" s="42"/>
      <c r="T16" s="43"/>
      <c r="U16" s="42"/>
    </row>
    <row r="17" spans="1:25" x14ac:dyDescent="0.25">
      <c r="A17" s="63" t="s">
        <v>4</v>
      </c>
      <c r="B17" s="135">
        <v>1991</v>
      </c>
      <c r="C17" s="136">
        <v>0.08</v>
      </c>
      <c r="D17" s="135">
        <v>40</v>
      </c>
      <c r="E17" s="135">
        <f t="shared" si="0"/>
        <v>13</v>
      </c>
      <c r="F17" s="137">
        <f t="shared" si="1"/>
        <v>2.7296587926509187E-3</v>
      </c>
      <c r="G17" s="138">
        <f t="shared" si="2"/>
        <v>1.8358340688437776E-2</v>
      </c>
      <c r="H17" s="105">
        <f t="shared" si="5"/>
        <v>807458.99240953219</v>
      </c>
      <c r="I17" s="108">
        <f t="shared" si="3"/>
        <v>34571.93150926743</v>
      </c>
      <c r="J17" s="113">
        <f t="shared" si="4"/>
        <v>772887.06090026477</v>
      </c>
      <c r="K17" s="119">
        <f t="shared" si="6"/>
        <v>-62112.230185348628</v>
      </c>
      <c r="L17" s="123">
        <f t="shared" si="7"/>
        <v>96684.16169461605</v>
      </c>
      <c r="M17" s="129">
        <f t="shared" si="8"/>
        <v>710774.83071491611</v>
      </c>
      <c r="N17" s="94">
        <f t="shared" si="9"/>
        <v>2484489.2074139453</v>
      </c>
      <c r="O17" s="42"/>
      <c r="P17" s="43"/>
      <c r="Q17" s="42"/>
      <c r="R17" s="43"/>
      <c r="S17" s="42"/>
      <c r="T17" s="43"/>
      <c r="U17" s="42"/>
    </row>
    <row r="18" spans="1:25" x14ac:dyDescent="0.25">
      <c r="A18" s="63" t="s">
        <v>5</v>
      </c>
      <c r="B18" s="135">
        <v>1991</v>
      </c>
      <c r="C18" s="136">
        <v>0</v>
      </c>
      <c r="D18" s="135">
        <v>25</v>
      </c>
      <c r="E18" s="135">
        <f t="shared" si="0"/>
        <v>0</v>
      </c>
      <c r="F18" s="137">
        <f t="shared" si="1"/>
        <v>0</v>
      </c>
      <c r="G18" s="138">
        <f t="shared" si="2"/>
        <v>0</v>
      </c>
      <c r="H18" s="105">
        <f t="shared" si="5"/>
        <v>0</v>
      </c>
      <c r="I18" s="108">
        <f t="shared" si="3"/>
        <v>0</v>
      </c>
      <c r="J18" s="113">
        <f t="shared" si="4"/>
        <v>0</v>
      </c>
      <c r="K18" s="119">
        <f t="shared" si="6"/>
        <v>0</v>
      </c>
      <c r="L18" s="123">
        <f t="shared" si="7"/>
        <v>0</v>
      </c>
      <c r="M18" s="129">
        <f t="shared" si="8"/>
        <v>0</v>
      </c>
      <c r="N18" s="94">
        <f t="shared" si="9"/>
        <v>0</v>
      </c>
      <c r="O18" s="42"/>
      <c r="P18" s="43"/>
      <c r="Q18" s="42"/>
      <c r="R18" s="43"/>
      <c r="S18" s="42"/>
      <c r="T18" s="43"/>
      <c r="U18" s="42"/>
    </row>
    <row r="19" spans="1:25" x14ac:dyDescent="0.25">
      <c r="A19" s="63" t="s">
        <v>6</v>
      </c>
      <c r="B19" s="135">
        <v>1991</v>
      </c>
      <c r="C19" s="136">
        <v>0.05</v>
      </c>
      <c r="D19" s="135">
        <v>50</v>
      </c>
      <c r="E19" s="135">
        <f t="shared" si="0"/>
        <v>23</v>
      </c>
      <c r="F19" s="137">
        <f t="shared" si="1"/>
        <v>3.0183727034120734E-3</v>
      </c>
      <c r="G19" s="138">
        <f t="shared" si="2"/>
        <v>2.0300088261253312E-2</v>
      </c>
      <c r="H19" s="105">
        <f t="shared" si="5"/>
        <v>892863.30891438667</v>
      </c>
      <c r="I19" s="108">
        <f t="shared" si="3"/>
        <v>38228.578111209179</v>
      </c>
      <c r="J19" s="113">
        <f t="shared" si="4"/>
        <v>854634.73080317746</v>
      </c>
      <c r="K19" s="119">
        <f t="shared" si="6"/>
        <v>-38820.143865842896</v>
      </c>
      <c r="L19" s="123">
        <f t="shared" si="7"/>
        <v>77048.721977052075</v>
      </c>
      <c r="M19" s="129">
        <f t="shared" si="8"/>
        <v>815814.58693733462</v>
      </c>
      <c r="N19" s="94">
        <f t="shared" si="9"/>
        <v>1941007.1932921447</v>
      </c>
      <c r="O19" s="42"/>
      <c r="P19" s="43"/>
      <c r="Q19" s="42"/>
      <c r="R19" s="43"/>
      <c r="S19" s="42"/>
      <c r="T19" s="43"/>
      <c r="U19" s="42"/>
    </row>
    <row r="20" spans="1:25" x14ac:dyDescent="0.25">
      <c r="A20" s="63" t="s">
        <v>7</v>
      </c>
      <c r="B20" s="135">
        <v>1991</v>
      </c>
      <c r="C20" s="136">
        <v>0.03</v>
      </c>
      <c r="D20" s="135">
        <v>50</v>
      </c>
      <c r="E20" s="135">
        <f t="shared" si="0"/>
        <v>23</v>
      </c>
      <c r="F20" s="137">
        <f t="shared" si="1"/>
        <v>1.8110236220472439E-3</v>
      </c>
      <c r="G20" s="138">
        <f t="shared" si="2"/>
        <v>1.2180052956751985E-2</v>
      </c>
      <c r="H20" s="105">
        <f t="shared" si="5"/>
        <v>535717.98534863198</v>
      </c>
      <c r="I20" s="108">
        <f t="shared" si="3"/>
        <v>22937.146866725507</v>
      </c>
      <c r="J20" s="113">
        <f t="shared" si="4"/>
        <v>512780.83848190645</v>
      </c>
      <c r="K20" s="119">
        <f t="shared" si="6"/>
        <v>-23292.086319505739</v>
      </c>
      <c r="L20" s="123">
        <f t="shared" si="7"/>
        <v>46229.233186231242</v>
      </c>
      <c r="M20" s="129">
        <f t="shared" si="8"/>
        <v>489488.75216240069</v>
      </c>
      <c r="N20" s="94">
        <f t="shared" si="9"/>
        <v>1164604.315975287</v>
      </c>
      <c r="O20" s="42"/>
      <c r="P20" s="43"/>
      <c r="Q20" s="42"/>
      <c r="R20" s="43"/>
      <c r="S20" s="42"/>
      <c r="T20" s="43"/>
      <c r="U20" s="42"/>
    </row>
    <row r="21" spans="1:25" x14ac:dyDescent="0.25">
      <c r="A21" s="63" t="s">
        <v>8</v>
      </c>
      <c r="B21" s="135">
        <v>1991</v>
      </c>
      <c r="C21" s="136">
        <v>0.03</v>
      </c>
      <c r="D21" s="135">
        <v>30</v>
      </c>
      <c r="E21" s="135">
        <f t="shared" si="0"/>
        <v>3</v>
      </c>
      <c r="F21" s="137">
        <f t="shared" si="1"/>
        <v>2.3622047244094486E-4</v>
      </c>
      <c r="G21" s="138">
        <f t="shared" si="2"/>
        <v>1.588702559576346E-3</v>
      </c>
      <c r="H21" s="105">
        <f t="shared" si="5"/>
        <v>69876.25895851721</v>
      </c>
      <c r="I21" s="108">
        <f t="shared" si="3"/>
        <v>2991.801765225066</v>
      </c>
      <c r="J21" s="113">
        <f t="shared" si="4"/>
        <v>66884.457193292139</v>
      </c>
      <c r="K21" s="119">
        <f t="shared" si="6"/>
        <v>-23292.086319505735</v>
      </c>
      <c r="L21" s="123">
        <f t="shared" si="7"/>
        <v>26283.888084730803</v>
      </c>
      <c r="M21" s="129">
        <f t="shared" si="8"/>
        <v>43592.370873786407</v>
      </c>
      <c r="N21" s="94">
        <f t="shared" si="9"/>
        <v>698762.58958517201</v>
      </c>
      <c r="O21" s="42"/>
      <c r="P21" s="43"/>
      <c r="Q21" s="42"/>
      <c r="R21" s="43"/>
      <c r="S21" s="42"/>
      <c r="T21" s="43"/>
      <c r="U21" s="42"/>
    </row>
    <row r="22" spans="1:25" s="14" customFormat="1" x14ac:dyDescent="0.25">
      <c r="A22" s="63" t="s">
        <v>9</v>
      </c>
      <c r="B22" s="135">
        <v>2005</v>
      </c>
      <c r="C22" s="136">
        <v>0.02</v>
      </c>
      <c r="D22" s="135">
        <v>40</v>
      </c>
      <c r="E22" s="135">
        <f t="shared" si="0"/>
        <v>27</v>
      </c>
      <c r="F22" s="137">
        <f t="shared" si="1"/>
        <v>1.4173228346456694E-3</v>
      </c>
      <c r="G22" s="138">
        <f t="shared" si="2"/>
        <v>9.5322153574580772E-3</v>
      </c>
      <c r="H22" s="105">
        <f t="shared" si="5"/>
        <v>419257.55375110335</v>
      </c>
      <c r="I22" s="108">
        <f t="shared" si="3"/>
        <v>17950.810591350401</v>
      </c>
      <c r="J22" s="113">
        <f t="shared" si="4"/>
        <v>401306.74315975292</v>
      </c>
      <c r="K22" s="119">
        <f t="shared" si="6"/>
        <v>-15528.057546337161</v>
      </c>
      <c r="L22" s="123">
        <f t="shared" si="7"/>
        <v>33478.868137687561</v>
      </c>
      <c r="M22" s="129">
        <f t="shared" si="8"/>
        <v>385778.68561341579</v>
      </c>
      <c r="N22" s="94">
        <f t="shared" si="9"/>
        <v>621122.30185348645</v>
      </c>
      <c r="O22" s="42"/>
      <c r="P22" s="43"/>
      <c r="Q22" s="42"/>
      <c r="R22" s="43"/>
      <c r="S22" s="42"/>
      <c r="T22" s="43"/>
      <c r="U22" s="42"/>
      <c r="V22" s="40"/>
      <c r="W22" s="40"/>
    </row>
    <row r="23" spans="1:25" x14ac:dyDescent="0.25">
      <c r="A23" s="66" t="s">
        <v>10</v>
      </c>
      <c r="B23" s="135">
        <v>1991</v>
      </c>
      <c r="C23" s="136">
        <v>0.02</v>
      </c>
      <c r="D23" s="135">
        <v>50</v>
      </c>
      <c r="E23" s="135">
        <f t="shared" si="0"/>
        <v>23</v>
      </c>
      <c r="F23" s="137">
        <f t="shared" si="1"/>
        <v>1.2073490813648295E-3</v>
      </c>
      <c r="G23" s="138">
        <f t="shared" si="2"/>
        <v>8.1200353045013246E-3</v>
      </c>
      <c r="H23" s="105">
        <f t="shared" si="5"/>
        <v>357145.32356575469</v>
      </c>
      <c r="I23" s="108">
        <f t="shared" si="3"/>
        <v>15291.431244483672</v>
      </c>
      <c r="J23" s="113">
        <f t="shared" si="4"/>
        <v>341853.89232127101</v>
      </c>
      <c r="K23" s="119">
        <f t="shared" si="6"/>
        <v>-15528.057546337161</v>
      </c>
      <c r="L23" s="123">
        <f t="shared" si="7"/>
        <v>30819.488790820833</v>
      </c>
      <c r="M23" s="129">
        <f t="shared" si="8"/>
        <v>326325.83477493387</v>
      </c>
      <c r="N23" s="94">
        <f t="shared" si="9"/>
        <v>776402.87731685804</v>
      </c>
      <c r="O23" s="42"/>
      <c r="P23" s="43"/>
      <c r="Q23" s="42"/>
      <c r="R23" s="43"/>
      <c r="S23" s="42"/>
      <c r="T23" s="43"/>
      <c r="U23" s="42"/>
    </row>
    <row r="24" spans="1:25" x14ac:dyDescent="0.25">
      <c r="A24" s="63" t="s">
        <v>11</v>
      </c>
      <c r="B24" s="135">
        <v>1991</v>
      </c>
      <c r="C24" s="136">
        <v>0.02</v>
      </c>
      <c r="D24" s="135">
        <v>40</v>
      </c>
      <c r="E24" s="135">
        <f t="shared" si="0"/>
        <v>13</v>
      </c>
      <c r="F24" s="137">
        <f t="shared" si="1"/>
        <v>6.8241469816272967E-4</v>
      </c>
      <c r="G24" s="138">
        <f t="shared" si="2"/>
        <v>4.5895851721094441E-3</v>
      </c>
      <c r="H24" s="105">
        <f t="shared" si="5"/>
        <v>201864.74810238305</v>
      </c>
      <c r="I24" s="108">
        <f t="shared" si="3"/>
        <v>8642.9828773168574</v>
      </c>
      <c r="J24" s="113">
        <f t="shared" si="4"/>
        <v>193221.76522506619</v>
      </c>
      <c r="K24" s="119">
        <f t="shared" si="6"/>
        <v>-15528.057546337157</v>
      </c>
      <c r="L24" s="123">
        <f t="shared" si="7"/>
        <v>24171.040423654013</v>
      </c>
      <c r="M24" s="129">
        <f t="shared" si="8"/>
        <v>177693.70767872903</v>
      </c>
      <c r="N24" s="94">
        <f t="shared" si="9"/>
        <v>621122.30185348634</v>
      </c>
      <c r="O24" s="42"/>
      <c r="P24" s="43"/>
      <c r="Q24" s="42"/>
      <c r="R24" s="43"/>
      <c r="S24" s="42"/>
      <c r="T24" s="43"/>
      <c r="U24" s="42"/>
    </row>
    <row r="25" spans="1:25" x14ac:dyDescent="0.25">
      <c r="A25" s="63" t="s">
        <v>12</v>
      </c>
      <c r="B25" s="135">
        <v>1991</v>
      </c>
      <c r="C25" s="136">
        <v>0.01</v>
      </c>
      <c r="D25" s="135">
        <v>20</v>
      </c>
      <c r="E25" s="135">
        <f t="shared" si="0"/>
        <v>0</v>
      </c>
      <c r="F25" s="137">
        <f t="shared" si="1"/>
        <v>0</v>
      </c>
      <c r="G25" s="138">
        <f t="shared" si="2"/>
        <v>0</v>
      </c>
      <c r="H25" s="105">
        <f t="shared" si="5"/>
        <v>0</v>
      </c>
      <c r="I25" s="108">
        <f t="shared" si="3"/>
        <v>0</v>
      </c>
      <c r="J25" s="113">
        <f t="shared" si="4"/>
        <v>0</v>
      </c>
      <c r="K25" s="119">
        <f t="shared" si="6"/>
        <v>0</v>
      </c>
      <c r="L25" s="123">
        <f t="shared" si="7"/>
        <v>0</v>
      </c>
      <c r="M25" s="129">
        <f t="shared" si="8"/>
        <v>0</v>
      </c>
      <c r="N25" s="94">
        <f t="shared" si="9"/>
        <v>0</v>
      </c>
      <c r="O25" s="42"/>
      <c r="P25" s="43"/>
      <c r="Q25" s="42"/>
      <c r="R25" s="43"/>
      <c r="S25" s="42"/>
      <c r="T25" s="43"/>
      <c r="U25" s="42"/>
    </row>
    <row r="26" spans="1:25" x14ac:dyDescent="0.25">
      <c r="A26" s="67" t="s">
        <v>13</v>
      </c>
      <c r="B26" s="139">
        <v>1991</v>
      </c>
      <c r="C26" s="140">
        <v>0.13</v>
      </c>
      <c r="D26" s="139">
        <v>50</v>
      </c>
      <c r="E26" s="139">
        <f t="shared" si="0"/>
        <v>23</v>
      </c>
      <c r="F26" s="141">
        <f t="shared" si="1"/>
        <v>7.8477690288713906E-3</v>
      </c>
      <c r="G26" s="142">
        <f t="shared" si="2"/>
        <v>5.278022947925861E-2</v>
      </c>
      <c r="H26" s="106">
        <f t="shared" si="5"/>
        <v>2321444.6031774054</v>
      </c>
      <c r="I26" s="109">
        <f t="shared" si="3"/>
        <v>99394.303089143868</v>
      </c>
      <c r="J26" s="114">
        <f t="shared" si="4"/>
        <v>2222050.3000882617</v>
      </c>
      <c r="K26" s="119">
        <f t="shared" si="6"/>
        <v>-100932.37405119154</v>
      </c>
      <c r="L26" s="124">
        <f t="shared" si="7"/>
        <v>200326.67714033541</v>
      </c>
      <c r="M26" s="129">
        <f t="shared" si="8"/>
        <v>2121117.9260370703</v>
      </c>
      <c r="N26" s="94">
        <f t="shared" si="9"/>
        <v>5046618.7025595773</v>
      </c>
      <c r="O26" s="42"/>
      <c r="P26" s="43"/>
      <c r="Q26" s="42"/>
      <c r="R26" s="43"/>
      <c r="S26" s="42"/>
      <c r="T26" s="43"/>
      <c r="U26" s="42"/>
    </row>
    <row r="27" spans="1:25" x14ac:dyDescent="0.25">
      <c r="A27" s="80" t="s">
        <v>83</v>
      </c>
      <c r="B27" s="75" t="s">
        <v>72</v>
      </c>
      <c r="C27" s="76">
        <f>SUM(C11:C26)</f>
        <v>1.0000000000000002</v>
      </c>
      <c r="D27" s="81" t="s">
        <v>72</v>
      </c>
      <c r="E27" s="82" t="s">
        <v>72</v>
      </c>
      <c r="F27" s="79">
        <f t="shared" ref="F27:N27" si="10">SUM(F11:F26)</f>
        <v>0.14868766404199474</v>
      </c>
      <c r="G27" s="76">
        <f t="shared" si="10"/>
        <v>1</v>
      </c>
      <c r="H27" s="105">
        <f t="shared" si="10"/>
        <v>43983223.000000007</v>
      </c>
      <c r="I27" s="108">
        <f t="shared" si="10"/>
        <v>1883173.0000000007</v>
      </c>
      <c r="J27" s="115">
        <f t="shared" si="10"/>
        <v>42100050.000000015</v>
      </c>
      <c r="K27" s="120">
        <f t="shared" si="10"/>
        <v>-753110.7909973521</v>
      </c>
      <c r="L27" s="125">
        <f t="shared" si="10"/>
        <v>2636283.7909973525</v>
      </c>
      <c r="M27" s="131">
        <f t="shared" si="10"/>
        <v>41346939.209002666</v>
      </c>
      <c r="N27" s="97">
        <f t="shared" si="10"/>
        <v>85404316.504854396</v>
      </c>
      <c r="O27" s="43"/>
      <c r="P27" s="42"/>
      <c r="Q27" s="43"/>
      <c r="R27" s="42"/>
      <c r="S27" s="43"/>
      <c r="T27" s="42"/>
      <c r="U27" s="43"/>
    </row>
    <row r="28" spans="1:25" x14ac:dyDescent="0.25">
      <c r="A28" s="80" t="s">
        <v>84</v>
      </c>
      <c r="B28" s="83">
        <f t="shared" ref="B28:G28" si="11">AVERAGE(B11:B26)</f>
        <v>1981.375</v>
      </c>
      <c r="C28" s="84">
        <f t="shared" si="11"/>
        <v>6.2500000000000014E-2</v>
      </c>
      <c r="D28" s="75">
        <f t="shared" si="11"/>
        <v>59.6875</v>
      </c>
      <c r="E28" s="75">
        <f t="shared" si="11"/>
        <v>23.8125</v>
      </c>
      <c r="F28" s="78">
        <f t="shared" si="11"/>
        <v>9.2929790026246711E-3</v>
      </c>
      <c r="G28" s="84">
        <f t="shared" si="11"/>
        <v>6.25E-2</v>
      </c>
      <c r="H28" s="16"/>
      <c r="I28" s="16"/>
      <c r="J28" s="16"/>
      <c r="K28" s="11"/>
      <c r="L28" s="43"/>
      <c r="M28" s="42"/>
      <c r="N28" s="93"/>
      <c r="O28" s="43"/>
      <c r="P28" s="42"/>
      <c r="Q28" s="43"/>
      <c r="R28" s="42"/>
      <c r="S28" s="43"/>
      <c r="T28" s="42"/>
      <c r="U28" s="43"/>
      <c r="V28" s="42"/>
      <c r="W28" s="43"/>
      <c r="X28" s="40"/>
      <c r="Y28" s="40"/>
    </row>
    <row r="29" spans="1:25" x14ac:dyDescent="0.25">
      <c r="A29" s="80" t="s">
        <v>85</v>
      </c>
      <c r="B29" s="188">
        <f>SUMPRODUCT(B11:B26,C11:C26)/SUM(C11:C26)</f>
        <v>1962.7199999999993</v>
      </c>
      <c r="C29" s="90" t="s">
        <v>72</v>
      </c>
      <c r="D29" s="188">
        <f>SUMPRODUCT(D11:D26,C11:C26)/SUM(C11:C26)</f>
        <v>111.79999999999997</v>
      </c>
      <c r="E29" s="188">
        <f>SUMPRODUCT(E11:E26,C11:C26)/SUM(C11:C26)</f>
        <v>56.649999999999984</v>
      </c>
      <c r="F29" s="90" t="s">
        <v>72</v>
      </c>
      <c r="G29" s="90" t="s">
        <v>72</v>
      </c>
      <c r="H29" s="90"/>
      <c r="I29" s="16"/>
      <c r="J29" s="16"/>
      <c r="K29" s="11"/>
      <c r="L29" s="43"/>
      <c r="M29" s="42"/>
      <c r="N29" s="93"/>
      <c r="O29" s="43"/>
      <c r="P29" s="42"/>
      <c r="Q29" s="43"/>
      <c r="R29" s="42"/>
      <c r="S29" s="43"/>
      <c r="T29" s="42"/>
      <c r="U29" s="43"/>
      <c r="V29" s="42"/>
      <c r="W29" s="43"/>
      <c r="X29" s="40"/>
      <c r="Y29" s="40"/>
    </row>
    <row r="30" spans="1:25" x14ac:dyDescent="0.25">
      <c r="D30" s="16"/>
      <c r="E30" s="16"/>
      <c r="F30" s="14"/>
      <c r="G30" s="14"/>
      <c r="H30" s="14"/>
      <c r="I30" s="14"/>
    </row>
    <row r="31" spans="1:25" ht="30" x14ac:dyDescent="0.25">
      <c r="A31" s="132" t="s">
        <v>76</v>
      </c>
      <c r="B31" s="91" t="s">
        <v>71</v>
      </c>
      <c r="C31" s="91" t="s">
        <v>77</v>
      </c>
      <c r="D31" s="91" t="s">
        <v>78</v>
      </c>
      <c r="E31" s="104" t="s">
        <v>26</v>
      </c>
      <c r="F31" s="107" t="s">
        <v>27</v>
      </c>
      <c r="G31" s="133" t="s">
        <v>43</v>
      </c>
      <c r="H31" s="118" t="s">
        <v>86</v>
      </c>
      <c r="I31" s="122" t="s">
        <v>46</v>
      </c>
      <c r="J31" s="128" t="s">
        <v>47</v>
      </c>
      <c r="W31"/>
    </row>
    <row r="32" spans="1:25" x14ac:dyDescent="0.25">
      <c r="A32" s="64" t="s">
        <v>48</v>
      </c>
      <c r="B32" s="45">
        <v>42005</v>
      </c>
      <c r="C32" s="44">
        <v>15</v>
      </c>
      <c r="D32" s="46">
        <f t="shared" ref="D32:D38" si="12">IF(C32-ROUND(($B$8-B32)/365,2)&lt;0,0,C32-ROUND(($B$8-B32)/365,2))</f>
        <v>11</v>
      </c>
      <c r="E32" s="102">
        <v>611537</v>
      </c>
      <c r="F32" s="110">
        <v>46877</v>
      </c>
      <c r="G32" s="116">
        <v>554861</v>
      </c>
      <c r="H32" s="121">
        <f t="shared" ref="H32:H38" si="13">E32/C32*-1</f>
        <v>-40769.133333333331</v>
      </c>
      <c r="I32" s="126">
        <f t="shared" ref="I32:I38" si="14">F32-H32</f>
        <v>87646.133333333331</v>
      </c>
      <c r="J32" s="130">
        <f t="shared" ref="J32:J38" si="15">E32-I32</f>
        <v>523890.8666666667</v>
      </c>
      <c r="K32" s="42"/>
      <c r="L32" s="39"/>
      <c r="M32" s="42"/>
      <c r="N32" s="92"/>
      <c r="O32" s="39"/>
      <c r="P32" s="42"/>
      <c r="Q32" s="39"/>
      <c r="R32" s="42"/>
      <c r="S32" s="39"/>
      <c r="T32" s="42"/>
      <c r="W32"/>
    </row>
    <row r="33" spans="1:23" x14ac:dyDescent="0.25">
      <c r="A33" s="64" t="s">
        <v>49</v>
      </c>
      <c r="B33" s="45">
        <v>42005</v>
      </c>
      <c r="C33" s="44">
        <v>10</v>
      </c>
      <c r="D33" s="46">
        <f t="shared" si="12"/>
        <v>6</v>
      </c>
      <c r="E33" s="102">
        <v>504258</v>
      </c>
      <c r="F33" s="110">
        <v>55474</v>
      </c>
      <c r="G33" s="116">
        <v>458583</v>
      </c>
      <c r="H33" s="121">
        <f t="shared" si="13"/>
        <v>-50425.8</v>
      </c>
      <c r="I33" s="126">
        <f t="shared" si="14"/>
        <v>105899.8</v>
      </c>
      <c r="J33" s="130">
        <f t="shared" si="15"/>
        <v>398358.2</v>
      </c>
      <c r="K33" s="42"/>
      <c r="L33" s="39"/>
      <c r="M33" s="42"/>
      <c r="N33" s="92"/>
      <c r="O33" s="39"/>
      <c r="P33" s="42"/>
      <c r="Q33" s="39"/>
      <c r="R33" s="42"/>
      <c r="S33" s="39"/>
      <c r="T33" s="42"/>
      <c r="W33"/>
    </row>
    <row r="34" spans="1:23" x14ac:dyDescent="0.25">
      <c r="A34" s="64" t="s">
        <v>50</v>
      </c>
      <c r="B34" s="45">
        <v>42278</v>
      </c>
      <c r="C34" s="44">
        <v>10</v>
      </c>
      <c r="D34" s="46">
        <f t="shared" si="12"/>
        <v>6.75</v>
      </c>
      <c r="E34" s="102">
        <v>648475</v>
      </c>
      <c r="F34" s="110">
        <v>81192</v>
      </c>
      <c r="G34" s="116">
        <v>502436</v>
      </c>
      <c r="H34" s="121">
        <f t="shared" si="13"/>
        <v>-64847.5</v>
      </c>
      <c r="I34" s="126">
        <f t="shared" si="14"/>
        <v>146039.5</v>
      </c>
      <c r="J34" s="130">
        <f t="shared" si="15"/>
        <v>502435.5</v>
      </c>
      <c r="K34" s="42"/>
      <c r="L34" s="39"/>
      <c r="M34" s="42"/>
      <c r="N34" s="92"/>
      <c r="O34" s="39"/>
      <c r="P34" s="42"/>
      <c r="Q34" s="39"/>
      <c r="R34" s="42"/>
      <c r="S34" s="39"/>
      <c r="T34" s="42"/>
      <c r="W34"/>
    </row>
    <row r="35" spans="1:23" s="14" customFormat="1" x14ac:dyDescent="0.25">
      <c r="A35" s="65" t="s">
        <v>51</v>
      </c>
      <c r="B35" s="60">
        <v>38353</v>
      </c>
      <c r="C35" s="59">
        <v>25</v>
      </c>
      <c r="D35" s="61">
        <f t="shared" si="12"/>
        <v>10.99</v>
      </c>
      <c r="E35" s="102">
        <v>1245359</v>
      </c>
      <c r="F35" s="110">
        <v>398512</v>
      </c>
      <c r="G35" s="116">
        <v>846847</v>
      </c>
      <c r="H35" s="121">
        <f t="shared" si="13"/>
        <v>-49814.36</v>
      </c>
      <c r="I35" s="126">
        <f t="shared" si="14"/>
        <v>448326.36</v>
      </c>
      <c r="J35" s="130">
        <f t="shared" si="15"/>
        <v>797032.64</v>
      </c>
      <c r="K35" s="42"/>
      <c r="L35" s="39"/>
      <c r="M35" s="42"/>
      <c r="N35" s="92"/>
      <c r="O35" s="39"/>
      <c r="P35" s="42"/>
      <c r="Q35" s="39"/>
      <c r="R35" s="42"/>
      <c r="S35" s="39"/>
      <c r="T35" s="42"/>
      <c r="U35" s="40"/>
      <c r="V35" s="40"/>
    </row>
    <row r="36" spans="1:23" x14ac:dyDescent="0.25">
      <c r="A36" s="64" t="s">
        <v>52</v>
      </c>
      <c r="B36" s="45">
        <v>43100</v>
      </c>
      <c r="C36" s="44">
        <v>10</v>
      </c>
      <c r="D36" s="46">
        <f t="shared" si="12"/>
        <v>9</v>
      </c>
      <c r="E36" s="102">
        <v>94708</v>
      </c>
      <c r="F36" s="110">
        <v>17479</v>
      </c>
      <c r="G36" s="116">
        <f>E36+H36*(C36-D36)</f>
        <v>85237.2</v>
      </c>
      <c r="H36" s="121">
        <f t="shared" si="13"/>
        <v>-9470.7999999999993</v>
      </c>
      <c r="I36" s="126">
        <f t="shared" si="14"/>
        <v>26949.8</v>
      </c>
      <c r="J36" s="130">
        <f t="shared" si="15"/>
        <v>67758.2</v>
      </c>
      <c r="K36" s="42"/>
      <c r="L36" s="39"/>
      <c r="M36" s="42"/>
      <c r="N36" s="92"/>
      <c r="O36" s="39"/>
      <c r="P36" s="42"/>
      <c r="Q36" s="39"/>
      <c r="R36" s="42"/>
      <c r="S36" s="39"/>
      <c r="T36" s="42"/>
      <c r="W36"/>
    </row>
    <row r="37" spans="1:23" x14ac:dyDescent="0.25">
      <c r="A37" s="64" t="s">
        <v>73</v>
      </c>
      <c r="B37" s="45">
        <v>43009</v>
      </c>
      <c r="C37" s="44">
        <v>50</v>
      </c>
      <c r="D37" s="46">
        <f t="shared" si="12"/>
        <v>48.75</v>
      </c>
      <c r="E37" s="102">
        <v>2621293</v>
      </c>
      <c r="F37" s="110">
        <v>17475</v>
      </c>
      <c r="G37" s="116">
        <f>E37+H37*(C37-D37)</f>
        <v>2555760.6749999998</v>
      </c>
      <c r="H37" s="121">
        <f t="shared" si="13"/>
        <v>-52425.86</v>
      </c>
      <c r="I37" s="126">
        <f t="shared" si="14"/>
        <v>69900.86</v>
      </c>
      <c r="J37" s="130">
        <f t="shared" si="15"/>
        <v>2551392.14</v>
      </c>
      <c r="K37" s="42"/>
      <c r="L37" s="39"/>
      <c r="M37" s="42"/>
      <c r="N37" s="92"/>
      <c r="O37" s="39"/>
      <c r="P37" s="42"/>
      <c r="Q37" s="39"/>
      <c r="R37" s="42"/>
      <c r="S37" s="39"/>
      <c r="T37" s="42"/>
      <c r="W37"/>
    </row>
    <row r="38" spans="1:23" x14ac:dyDescent="0.25">
      <c r="A38" s="64" t="s">
        <v>54</v>
      </c>
      <c r="B38" s="45">
        <v>43281</v>
      </c>
      <c r="C38" s="44">
        <v>10</v>
      </c>
      <c r="D38" s="46">
        <f t="shared" si="12"/>
        <v>9.5</v>
      </c>
      <c r="E38" s="102">
        <v>154282</v>
      </c>
      <c r="F38" s="110">
        <v>5143</v>
      </c>
      <c r="G38" s="116">
        <f>E38+H38*(C38-D38)</f>
        <v>146567.9</v>
      </c>
      <c r="H38" s="121">
        <f t="shared" si="13"/>
        <v>-15428.2</v>
      </c>
      <c r="I38" s="126">
        <f t="shared" si="14"/>
        <v>20571.2</v>
      </c>
      <c r="J38" s="130">
        <f t="shared" si="15"/>
        <v>133710.79999999999</v>
      </c>
      <c r="K38" s="42"/>
      <c r="L38" s="39"/>
      <c r="M38" s="42"/>
      <c r="N38" s="92"/>
      <c r="O38" s="39"/>
      <c r="P38" s="42"/>
      <c r="Q38" s="39"/>
      <c r="R38" s="42"/>
      <c r="S38" s="39"/>
      <c r="T38" s="42"/>
      <c r="W38"/>
    </row>
    <row r="39" spans="1:23" x14ac:dyDescent="0.25">
      <c r="A39" s="51"/>
      <c r="B39" s="52"/>
      <c r="C39" s="52"/>
      <c r="D39" s="32"/>
      <c r="E39" s="103">
        <f t="shared" ref="E39:J39" si="16">SUM(E32:E38)</f>
        <v>5879912</v>
      </c>
      <c r="F39" s="111">
        <f t="shared" si="16"/>
        <v>622152</v>
      </c>
      <c r="G39" s="117">
        <f t="shared" si="16"/>
        <v>5150292.7750000004</v>
      </c>
      <c r="H39" s="120">
        <f t="shared" si="16"/>
        <v>-283181.65333333332</v>
      </c>
      <c r="I39" s="127">
        <f t="shared" si="16"/>
        <v>905333.65333333332</v>
      </c>
      <c r="J39" s="131">
        <f t="shared" si="16"/>
        <v>4974578.3466666667</v>
      </c>
      <c r="W39"/>
    </row>
    <row r="40" spans="1:23" x14ac:dyDescent="0.25">
      <c r="A40" s="37"/>
      <c r="B40" s="38"/>
      <c r="C40" s="38"/>
      <c r="I40" s="40"/>
      <c r="W40"/>
    </row>
    <row r="41" spans="1:23" x14ac:dyDescent="0.25">
      <c r="A41" s="12"/>
      <c r="B41" s="11"/>
      <c r="C41" s="11"/>
      <c r="I41" s="40"/>
      <c r="W41"/>
    </row>
    <row r="42" spans="1:23" x14ac:dyDescent="0.25">
      <c r="A42" s="54" t="s">
        <v>55</v>
      </c>
      <c r="B42" s="55"/>
      <c r="C42" s="55"/>
      <c r="D42" s="56"/>
      <c r="E42" s="56">
        <f t="shared" ref="E42:J42" si="17">H27+E39</f>
        <v>49863135.000000007</v>
      </c>
      <c r="F42" s="57">
        <f t="shared" si="17"/>
        <v>2505325.0000000009</v>
      </c>
      <c r="G42" s="57">
        <f t="shared" si="17"/>
        <v>47250342.775000013</v>
      </c>
      <c r="H42" s="57">
        <f t="shared" si="17"/>
        <v>-1036292.4443306854</v>
      </c>
      <c r="I42" s="58">
        <f t="shared" si="17"/>
        <v>3541617.4443306858</v>
      </c>
      <c r="J42" s="58">
        <f t="shared" si="17"/>
        <v>46321517.55566933</v>
      </c>
      <c r="W42"/>
    </row>
    <row r="46" spans="1:23" x14ac:dyDescent="0.25">
      <c r="H46" s="40"/>
      <c r="I46" s="40"/>
      <c r="U46"/>
      <c r="V46"/>
      <c r="W46"/>
    </row>
    <row r="47" spans="1:23" x14ac:dyDescent="0.25">
      <c r="A47" t="s">
        <v>57</v>
      </c>
      <c r="H47" s="40"/>
      <c r="I47" s="40"/>
      <c r="U47"/>
      <c r="V47"/>
      <c r="W47"/>
    </row>
    <row r="48" spans="1:23" x14ac:dyDescent="0.25">
      <c r="B48" t="s">
        <v>59</v>
      </c>
      <c r="H48" s="40"/>
      <c r="I48" s="40"/>
      <c r="U48"/>
      <c r="V48"/>
      <c r="W48"/>
    </row>
    <row r="49" spans="2:23" x14ac:dyDescent="0.25">
      <c r="B49" t="s">
        <v>56</v>
      </c>
      <c r="H49" s="40"/>
      <c r="I49" s="40"/>
      <c r="U49"/>
      <c r="V49"/>
      <c r="W49"/>
    </row>
    <row r="50" spans="2:23" x14ac:dyDescent="0.25">
      <c r="H50" s="40"/>
      <c r="I50" s="40"/>
      <c r="U50"/>
      <c r="V50"/>
      <c r="W50"/>
    </row>
    <row r="51" spans="2:23" x14ac:dyDescent="0.25">
      <c r="B51" t="s">
        <v>58</v>
      </c>
      <c r="H51" s="40"/>
      <c r="I51" s="40"/>
      <c r="U51"/>
      <c r="V51"/>
      <c r="W51"/>
    </row>
    <row r="52" spans="2:23" x14ac:dyDescent="0.25">
      <c r="H52" s="40"/>
      <c r="I52" s="40"/>
      <c r="U52"/>
      <c r="V52"/>
      <c r="W52"/>
    </row>
    <row r="53" spans="2:23" x14ac:dyDescent="0.25">
      <c r="H53" s="40"/>
      <c r="I53" s="40"/>
      <c r="U53"/>
      <c r="V53"/>
      <c r="W53"/>
    </row>
    <row r="54" spans="2:23" x14ac:dyDescent="0.25">
      <c r="H54" s="40"/>
      <c r="I54" s="40"/>
      <c r="U54"/>
      <c r="V54"/>
      <c r="W54"/>
    </row>
    <row r="55" spans="2:23" x14ac:dyDescent="0.25">
      <c r="H55" s="40"/>
      <c r="I55" s="40"/>
      <c r="U55"/>
      <c r="V55"/>
      <c r="W55"/>
    </row>
    <row r="56" spans="2:23" x14ac:dyDescent="0.25">
      <c r="H56" s="40"/>
      <c r="I56" s="40"/>
      <c r="U56"/>
      <c r="V56"/>
      <c r="W56"/>
    </row>
    <row r="57" spans="2:23" x14ac:dyDescent="0.25">
      <c r="H57" s="40"/>
      <c r="I57" s="40"/>
      <c r="U57"/>
      <c r="V57"/>
      <c r="W57"/>
    </row>
    <row r="58" spans="2:23" x14ac:dyDescent="0.25">
      <c r="H58" s="40"/>
      <c r="I58" s="40"/>
      <c r="U58"/>
      <c r="V58"/>
      <c r="W58"/>
    </row>
    <row r="59" spans="2:23" x14ac:dyDescent="0.25">
      <c r="H59" s="40"/>
      <c r="I59" s="40"/>
      <c r="U59"/>
      <c r="V59"/>
      <c r="W59"/>
    </row>
    <row r="60" spans="2:23" x14ac:dyDescent="0.25">
      <c r="H60" s="40"/>
      <c r="I60" s="40"/>
      <c r="U60"/>
      <c r="V60"/>
      <c r="W60"/>
    </row>
  </sheetData>
  <mergeCells count="4">
    <mergeCell ref="B5:C5"/>
    <mergeCell ref="B6:C6"/>
    <mergeCell ref="B7:C7"/>
    <mergeCell ref="B8:C8"/>
  </mergeCells>
  <pageMargins left="0.7" right="0.7" top="0.75" bottom="0.75" header="0.3" footer="0.3"/>
  <pageSetup paperSize="9" scale="66" fitToHeight="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CD38E7-93B7-4F2C-BA70-66D824879249}">
  <sheetPr>
    <pageSetUpPr fitToPage="1"/>
  </sheetPr>
  <dimension ref="A1:Z60"/>
  <sheetViews>
    <sheetView showGridLines="0" tabSelected="1" workbookViewId="0">
      <selection activeCell="A16" sqref="A16"/>
    </sheetView>
  </sheetViews>
  <sheetFormatPr defaultRowHeight="15" x14ac:dyDescent="0.25"/>
  <cols>
    <col min="1" max="1" width="36.28515625" customWidth="1"/>
    <col min="2" max="2" width="12.28515625" customWidth="1"/>
    <col min="3" max="3" width="14.5703125" customWidth="1"/>
    <col min="4" max="4" width="11.28515625" style="3" customWidth="1"/>
    <col min="5" max="5" width="14.140625" style="3" customWidth="1"/>
    <col min="6" max="7" width="13.5703125" customWidth="1"/>
    <col min="8" max="8" width="13.5703125" bestFit="1" customWidth="1"/>
    <col min="9" max="9" width="16.140625" customWidth="1"/>
    <col min="10" max="10" width="15.85546875" style="40" customWidth="1"/>
    <col min="11" max="11" width="15" style="40" customWidth="1"/>
    <col min="12" max="12" width="15.140625" style="40" customWidth="1"/>
    <col min="13" max="13" width="15.42578125" style="40" customWidth="1"/>
    <col min="14" max="14" width="14.85546875" style="95" customWidth="1"/>
    <col min="15" max="15" width="13.42578125" style="40" customWidth="1"/>
    <col min="16" max="16" width="13.28515625" style="40" bestFit="1" customWidth="1"/>
    <col min="17" max="17" width="12.42578125" style="40" customWidth="1"/>
    <col min="18" max="18" width="13.28515625" style="40" bestFit="1" customWidth="1"/>
    <col min="19" max="19" width="12.42578125" style="40" customWidth="1"/>
    <col min="20" max="20" width="15.5703125" style="40" customWidth="1"/>
    <col min="21" max="21" width="12.140625" style="40" customWidth="1"/>
    <col min="22" max="22" width="14.28515625" style="40" customWidth="1"/>
    <col min="23" max="24" width="9.140625" style="40"/>
  </cols>
  <sheetData>
    <row r="1" spans="1:26" x14ac:dyDescent="0.25">
      <c r="A1" s="1" t="s">
        <v>44</v>
      </c>
    </row>
    <row r="2" spans="1:26" x14ac:dyDescent="0.25">
      <c r="A2" s="40" t="s">
        <v>103</v>
      </c>
      <c r="E2"/>
      <c r="F2" s="40"/>
      <c r="G2" s="40"/>
      <c r="H2" s="40"/>
      <c r="I2" s="40"/>
      <c r="U2"/>
      <c r="V2"/>
      <c r="W2"/>
      <c r="X2"/>
    </row>
    <row r="3" spans="1:26" x14ac:dyDescent="0.25">
      <c r="A3" s="40" t="s">
        <v>104</v>
      </c>
      <c r="B3" s="14"/>
      <c r="C3" s="14"/>
      <c r="E3"/>
      <c r="F3" s="40"/>
      <c r="G3" s="40"/>
      <c r="H3" s="40"/>
      <c r="I3" s="40"/>
      <c r="U3"/>
      <c r="V3"/>
      <c r="W3"/>
      <c r="X3"/>
    </row>
    <row r="4" spans="1:26" x14ac:dyDescent="0.25">
      <c r="B4" s="14"/>
      <c r="C4" s="14"/>
      <c r="D4" s="16"/>
      <c r="E4" s="1" t="s">
        <v>44</v>
      </c>
      <c r="F4" s="40"/>
      <c r="G4" s="40"/>
      <c r="H4" s="40"/>
      <c r="I4" s="40"/>
      <c r="U4"/>
      <c r="V4"/>
      <c r="W4"/>
      <c r="X4"/>
    </row>
    <row r="5" spans="1:26" x14ac:dyDescent="0.25">
      <c r="A5" s="99" t="s">
        <v>20</v>
      </c>
      <c r="B5" s="201">
        <v>43983223</v>
      </c>
      <c r="C5" s="202"/>
      <c r="D5" s="16"/>
      <c r="E5" s="40" t="s">
        <v>103</v>
      </c>
      <c r="G5" s="40"/>
      <c r="H5" s="40"/>
      <c r="I5" s="40"/>
      <c r="V5"/>
      <c r="W5"/>
      <c r="X5"/>
    </row>
    <row r="6" spans="1:26" x14ac:dyDescent="0.25">
      <c r="A6" s="99" t="s">
        <v>21</v>
      </c>
      <c r="B6" s="201">
        <v>1883173</v>
      </c>
      <c r="C6" s="202"/>
      <c r="D6" s="16"/>
      <c r="E6" s="40" t="s">
        <v>102</v>
      </c>
      <c r="F6" s="8"/>
      <c r="G6" s="8"/>
    </row>
    <row r="7" spans="1:26" x14ac:dyDescent="0.25">
      <c r="A7" s="100" t="s">
        <v>75</v>
      </c>
      <c r="B7" s="203">
        <v>2018</v>
      </c>
      <c r="C7" s="204"/>
    </row>
    <row r="8" spans="1:26" x14ac:dyDescent="0.25">
      <c r="A8" s="101" t="s">
        <v>37</v>
      </c>
      <c r="B8" s="205">
        <v>43465</v>
      </c>
      <c r="C8" s="206"/>
    </row>
    <row r="10" spans="1:26" ht="45" x14ac:dyDescent="0.25">
      <c r="A10" s="89" t="s">
        <v>24</v>
      </c>
      <c r="B10" s="134" t="s">
        <v>71</v>
      </c>
      <c r="C10" s="134" t="s">
        <v>91</v>
      </c>
      <c r="D10" s="134" t="s">
        <v>89</v>
      </c>
      <c r="E10" s="134" t="s">
        <v>78</v>
      </c>
      <c r="F10" s="134" t="s">
        <v>79</v>
      </c>
      <c r="G10" s="134" t="s">
        <v>80</v>
      </c>
      <c r="H10" s="104" t="s">
        <v>26</v>
      </c>
      <c r="I10" s="107" t="s">
        <v>27</v>
      </c>
      <c r="J10" s="112" t="s">
        <v>43</v>
      </c>
      <c r="K10" s="118" t="s">
        <v>45</v>
      </c>
      <c r="L10" s="122" t="s">
        <v>46</v>
      </c>
      <c r="M10" s="128" t="s">
        <v>47</v>
      </c>
      <c r="N10" s="96" t="s">
        <v>87</v>
      </c>
      <c r="O10" s="96" t="s">
        <v>92</v>
      </c>
      <c r="P10" s="96" t="s">
        <v>94</v>
      </c>
      <c r="Q10" s="39"/>
      <c r="R10" s="41"/>
      <c r="S10" s="39"/>
      <c r="T10" s="41"/>
      <c r="U10" s="39"/>
      <c r="V10" s="41"/>
      <c r="W10" s="39"/>
      <c r="X10" s="41"/>
      <c r="Y10" s="40"/>
      <c r="Z10" s="40"/>
    </row>
    <row r="11" spans="1:26" x14ac:dyDescent="0.25">
      <c r="A11" s="63" t="s">
        <v>1</v>
      </c>
      <c r="B11" s="135">
        <v>1935</v>
      </c>
      <c r="C11" s="136">
        <v>0.3</v>
      </c>
      <c r="D11" s="135">
        <v>200</v>
      </c>
      <c r="E11" s="135">
        <f t="shared" ref="E11:E26" si="0">IF(D11-($B$7-B11)&gt;0,D11-($B$7-B11),0)</f>
        <v>117</v>
      </c>
      <c r="F11" s="137">
        <f t="shared" ref="F11:F26" si="1">E11/SUM($E$11:$E$26)*C11</f>
        <v>8.9769820971867004E-2</v>
      </c>
      <c r="G11" s="138">
        <f t="shared" ref="G11:G26" si="2">F11/$F$27</f>
        <v>0.62438850840522986</v>
      </c>
      <c r="H11" s="105">
        <f>$B$5*G11</f>
        <v>27462619.003824599</v>
      </c>
      <c r="I11" s="108">
        <f t="shared" ref="I11:I26" si="3">G11*$B$6</f>
        <v>1175831.5805390019</v>
      </c>
      <c r="J11" s="113">
        <f t="shared" ref="J11:J26" si="4">H11-I11</f>
        <v>26286787.423285596</v>
      </c>
      <c r="K11" s="119">
        <f>IFERROR(H11/E11*-1,0)</f>
        <v>-234723.23934892821</v>
      </c>
      <c r="L11" s="123">
        <f>I11-K11</f>
        <v>1410554.8198879301</v>
      </c>
      <c r="M11" s="129">
        <f>J11+K11</f>
        <v>26052064.183936667</v>
      </c>
      <c r="N11" s="94">
        <f>K11*D11*-1</f>
        <v>46944647.869785644</v>
      </c>
      <c r="O11" s="144">
        <f>ROUND(C11/$C$27,3)</f>
        <v>0.311</v>
      </c>
      <c r="P11" s="144">
        <v>0.3</v>
      </c>
      <c r="Q11" s="43"/>
      <c r="R11" s="143"/>
      <c r="S11" s="43"/>
      <c r="T11" s="42"/>
      <c r="U11" s="43"/>
      <c r="V11" s="42"/>
      <c r="W11" s="43"/>
      <c r="X11" s="42"/>
      <c r="Y11" s="40"/>
      <c r="Z11" s="40"/>
    </row>
    <row r="12" spans="1:26" x14ac:dyDescent="0.25">
      <c r="A12" s="63" t="s">
        <v>2</v>
      </c>
      <c r="B12" s="135">
        <v>1935</v>
      </c>
      <c r="C12" s="136">
        <v>0.19</v>
      </c>
      <c r="D12" s="135">
        <v>150</v>
      </c>
      <c r="E12" s="135">
        <f t="shared" si="0"/>
        <v>67</v>
      </c>
      <c r="F12" s="137">
        <f t="shared" si="1"/>
        <v>3.2557544757033249E-2</v>
      </c>
      <c r="G12" s="138">
        <f t="shared" si="2"/>
        <v>0.22645201458685402</v>
      </c>
      <c r="H12" s="105">
        <f t="shared" ref="H12:H26" si="5">$B$5*G12</f>
        <v>9960089.4563728534</v>
      </c>
      <c r="I12" s="108">
        <f t="shared" si="3"/>
        <v>426448.31966556964</v>
      </c>
      <c r="J12" s="113">
        <f t="shared" si="4"/>
        <v>9533641.1367072836</v>
      </c>
      <c r="K12" s="119">
        <f t="shared" ref="K12:K26" si="6">IFERROR(H12/E12*-1,0)</f>
        <v>-148658.05158765454</v>
      </c>
      <c r="L12" s="123">
        <f t="shared" ref="L12:L26" si="7">I12-K12</f>
        <v>575106.37125322421</v>
      </c>
      <c r="M12" s="129">
        <f t="shared" ref="M12:M26" si="8">J12+K12</f>
        <v>9384983.0851196293</v>
      </c>
      <c r="N12" s="94">
        <f t="shared" ref="N12:N26" si="9">K12*D12*-1</f>
        <v>22298707.738148183</v>
      </c>
      <c r="O12" s="144">
        <f t="shared" ref="O12:O25" si="10">ROUND(C12/$C$27,3)</f>
        <v>0.19700000000000001</v>
      </c>
      <c r="P12" s="144">
        <v>0.19</v>
      </c>
      <c r="Q12" s="43"/>
      <c r="R12" s="143"/>
      <c r="S12" s="43"/>
      <c r="T12" s="42"/>
      <c r="U12" s="43"/>
      <c r="V12" s="42"/>
      <c r="W12" s="43"/>
      <c r="X12" s="42"/>
      <c r="Y12" s="40"/>
      <c r="Z12" s="40"/>
    </row>
    <row r="13" spans="1:26" x14ac:dyDescent="0.25">
      <c r="A13" s="63" t="s">
        <v>81</v>
      </c>
      <c r="B13" s="135">
        <v>1991</v>
      </c>
      <c r="C13" s="136">
        <v>0.03</v>
      </c>
      <c r="D13" s="135">
        <v>50</v>
      </c>
      <c r="E13" s="135">
        <f t="shared" si="0"/>
        <v>23</v>
      </c>
      <c r="F13" s="137">
        <f t="shared" si="1"/>
        <v>1.764705882352941E-3</v>
      </c>
      <c r="G13" s="138">
        <f t="shared" si="2"/>
        <v>1.227430401138486E-2</v>
      </c>
      <c r="H13" s="105">
        <f t="shared" si="5"/>
        <v>539863.45050253486</v>
      </c>
      <c r="I13" s="108">
        <f t="shared" si="3"/>
        <v>23114.637908031662</v>
      </c>
      <c r="J13" s="113">
        <f t="shared" si="4"/>
        <v>516748.81259450322</v>
      </c>
      <c r="K13" s="119">
        <f t="shared" si="6"/>
        <v>-23472.323934892822</v>
      </c>
      <c r="L13" s="123">
        <f t="shared" si="7"/>
        <v>46586.961842924487</v>
      </c>
      <c r="M13" s="129">
        <f t="shared" si="8"/>
        <v>493276.48865961039</v>
      </c>
      <c r="N13" s="94">
        <f t="shared" si="9"/>
        <v>1173616.1967446411</v>
      </c>
      <c r="O13" s="144">
        <f t="shared" si="10"/>
        <v>3.1E-2</v>
      </c>
      <c r="P13" s="144">
        <v>0.12</v>
      </c>
      <c r="Q13" s="43"/>
      <c r="R13" s="143"/>
      <c r="S13" s="43"/>
      <c r="T13" s="42"/>
      <c r="U13" s="43"/>
      <c r="V13" s="42"/>
      <c r="W13" s="43"/>
      <c r="X13" s="42"/>
      <c r="Y13" s="40"/>
      <c r="Z13" s="40"/>
    </row>
    <row r="14" spans="1:26" x14ac:dyDescent="0.25">
      <c r="A14" s="64" t="s">
        <v>73</v>
      </c>
      <c r="B14" s="135">
        <v>1935</v>
      </c>
      <c r="C14" s="136">
        <v>0.03</v>
      </c>
      <c r="D14" s="135">
        <v>60</v>
      </c>
      <c r="E14" s="135">
        <f t="shared" si="0"/>
        <v>0</v>
      </c>
      <c r="F14" s="137">
        <f t="shared" si="1"/>
        <v>0</v>
      </c>
      <c r="G14" s="138">
        <f t="shared" si="2"/>
        <v>0</v>
      </c>
      <c r="H14" s="105">
        <f t="shared" si="5"/>
        <v>0</v>
      </c>
      <c r="I14" s="108">
        <f t="shared" si="3"/>
        <v>0</v>
      </c>
      <c r="J14" s="113">
        <f t="shared" si="4"/>
        <v>0</v>
      </c>
      <c r="K14" s="119">
        <f t="shared" si="6"/>
        <v>0</v>
      </c>
      <c r="L14" s="123">
        <f t="shared" si="7"/>
        <v>0</v>
      </c>
      <c r="M14" s="129">
        <f t="shared" si="8"/>
        <v>0</v>
      </c>
      <c r="N14" s="94">
        <f t="shared" si="9"/>
        <v>0</v>
      </c>
      <c r="O14" s="144">
        <f t="shared" si="10"/>
        <v>3.1E-2</v>
      </c>
      <c r="P14" s="144"/>
      <c r="Q14" s="43"/>
      <c r="R14" s="143"/>
      <c r="S14" s="43"/>
      <c r="T14" s="42"/>
      <c r="U14" s="43"/>
      <c r="V14" s="42"/>
      <c r="W14" s="43"/>
      <c r="X14" s="42"/>
      <c r="Y14" s="40"/>
      <c r="Z14" s="40"/>
    </row>
    <row r="15" spans="1:26" x14ac:dyDescent="0.25">
      <c r="A15" s="64" t="s">
        <v>74</v>
      </c>
      <c r="B15" s="135">
        <v>1991</v>
      </c>
      <c r="C15" s="136">
        <v>0.03</v>
      </c>
      <c r="D15" s="135">
        <v>50</v>
      </c>
      <c r="E15" s="135">
        <f t="shared" si="0"/>
        <v>23</v>
      </c>
      <c r="F15" s="137">
        <f t="shared" si="1"/>
        <v>1.764705882352941E-3</v>
      </c>
      <c r="G15" s="138">
        <f t="shared" si="2"/>
        <v>1.227430401138486E-2</v>
      </c>
      <c r="H15" s="105">
        <f t="shared" si="5"/>
        <v>539863.45050253486</v>
      </c>
      <c r="I15" s="108">
        <f t="shared" si="3"/>
        <v>23114.637908031662</v>
      </c>
      <c r="J15" s="113">
        <f t="shared" si="4"/>
        <v>516748.81259450322</v>
      </c>
      <c r="K15" s="119">
        <f t="shared" si="6"/>
        <v>-23472.323934892822</v>
      </c>
      <c r="L15" s="123">
        <f t="shared" si="7"/>
        <v>46586.961842924487</v>
      </c>
      <c r="M15" s="129">
        <f t="shared" si="8"/>
        <v>493276.48865961039</v>
      </c>
      <c r="N15" s="94">
        <f t="shared" si="9"/>
        <v>1173616.1967446411</v>
      </c>
      <c r="O15" s="144">
        <f t="shared" si="10"/>
        <v>3.1E-2</v>
      </c>
      <c r="P15" s="144"/>
      <c r="Q15" s="43"/>
      <c r="R15" s="143"/>
      <c r="S15" s="43"/>
      <c r="T15" s="42"/>
      <c r="U15" s="43"/>
      <c r="V15" s="42"/>
      <c r="W15" s="43"/>
      <c r="X15" s="42"/>
      <c r="Y15" s="40"/>
      <c r="Z15" s="40"/>
    </row>
    <row r="16" spans="1:26" x14ac:dyDescent="0.25">
      <c r="A16" s="64" t="s">
        <v>82</v>
      </c>
      <c r="B16" s="135">
        <v>1991</v>
      </c>
      <c r="C16" s="136">
        <v>0.03</v>
      </c>
      <c r="D16" s="135">
        <v>40</v>
      </c>
      <c r="E16" s="135">
        <f t="shared" si="0"/>
        <v>13</v>
      </c>
      <c r="F16" s="137">
        <f t="shared" si="1"/>
        <v>9.9744245524296688E-4</v>
      </c>
      <c r="G16" s="138">
        <f t="shared" si="2"/>
        <v>6.937650093391444E-3</v>
      </c>
      <c r="H16" s="105">
        <f t="shared" si="5"/>
        <v>305140.21115360671</v>
      </c>
      <c r="I16" s="108">
        <f t="shared" si="3"/>
        <v>13064.795339322245</v>
      </c>
      <c r="J16" s="113">
        <f t="shared" si="4"/>
        <v>292075.41581428447</v>
      </c>
      <c r="K16" s="119">
        <f t="shared" si="6"/>
        <v>-23472.323934892825</v>
      </c>
      <c r="L16" s="123">
        <f t="shared" si="7"/>
        <v>36537.119274215074</v>
      </c>
      <c r="M16" s="129">
        <f t="shared" si="8"/>
        <v>268603.09187939164</v>
      </c>
      <c r="N16" s="94">
        <f t="shared" si="9"/>
        <v>938892.95739571308</v>
      </c>
      <c r="O16" s="144">
        <f t="shared" si="10"/>
        <v>3.1E-2</v>
      </c>
      <c r="P16" s="144"/>
      <c r="Q16" s="43"/>
      <c r="R16" s="143"/>
      <c r="S16" s="43"/>
      <c r="T16" s="42"/>
      <c r="U16" s="43"/>
      <c r="V16" s="42"/>
      <c r="W16" s="43"/>
      <c r="X16" s="42"/>
      <c r="Y16" s="40"/>
      <c r="Z16" s="40"/>
    </row>
    <row r="17" spans="1:26" x14ac:dyDescent="0.25">
      <c r="A17" s="63" t="s">
        <v>4</v>
      </c>
      <c r="B17" s="135">
        <v>1991</v>
      </c>
      <c r="C17" s="192">
        <v>0.06</v>
      </c>
      <c r="D17" s="135">
        <v>40</v>
      </c>
      <c r="E17" s="135">
        <f t="shared" si="0"/>
        <v>13</v>
      </c>
      <c r="F17" s="137">
        <f t="shared" si="1"/>
        <v>1.9948849104859338E-3</v>
      </c>
      <c r="G17" s="138">
        <f t="shared" si="2"/>
        <v>1.3875300186782888E-2</v>
      </c>
      <c r="H17" s="105">
        <f t="shared" si="5"/>
        <v>610280.42230721342</v>
      </c>
      <c r="I17" s="108">
        <f t="shared" si="3"/>
        <v>26129.59067864449</v>
      </c>
      <c r="J17" s="113">
        <f t="shared" si="4"/>
        <v>584150.83162856894</v>
      </c>
      <c r="K17" s="119">
        <f t="shared" si="6"/>
        <v>-46944.647869785651</v>
      </c>
      <c r="L17" s="123">
        <f t="shared" si="7"/>
        <v>73074.238548430149</v>
      </c>
      <c r="M17" s="129">
        <f t="shared" si="8"/>
        <v>537206.18375878327</v>
      </c>
      <c r="N17" s="94">
        <f t="shared" si="9"/>
        <v>1877785.9147914262</v>
      </c>
      <c r="O17" s="144">
        <f t="shared" si="10"/>
        <v>6.2E-2</v>
      </c>
      <c r="P17" s="144">
        <v>0.08</v>
      </c>
      <c r="Q17" s="43"/>
      <c r="R17" s="143"/>
      <c r="S17" s="43"/>
      <c r="T17" s="42"/>
      <c r="U17" s="43"/>
      <c r="V17" s="42"/>
      <c r="W17" s="43"/>
      <c r="X17" s="42"/>
      <c r="Y17" s="40"/>
      <c r="Z17" s="40"/>
    </row>
    <row r="18" spans="1:26" x14ac:dyDescent="0.25">
      <c r="A18" s="63" t="s">
        <v>5</v>
      </c>
      <c r="B18" s="135">
        <v>1991</v>
      </c>
      <c r="C18" s="136">
        <v>0</v>
      </c>
      <c r="D18" s="135">
        <v>25</v>
      </c>
      <c r="E18" s="135">
        <f t="shared" si="0"/>
        <v>0</v>
      </c>
      <c r="F18" s="137">
        <f t="shared" si="1"/>
        <v>0</v>
      </c>
      <c r="G18" s="138">
        <f t="shared" si="2"/>
        <v>0</v>
      </c>
      <c r="H18" s="105">
        <f t="shared" si="5"/>
        <v>0</v>
      </c>
      <c r="I18" s="108">
        <f t="shared" si="3"/>
        <v>0</v>
      </c>
      <c r="J18" s="113">
        <f t="shared" si="4"/>
        <v>0</v>
      </c>
      <c r="K18" s="119">
        <f t="shared" si="6"/>
        <v>0</v>
      </c>
      <c r="L18" s="123">
        <f t="shared" si="7"/>
        <v>0</v>
      </c>
      <c r="M18" s="129">
        <f t="shared" si="8"/>
        <v>0</v>
      </c>
      <c r="N18" s="94">
        <f t="shared" si="9"/>
        <v>0</v>
      </c>
      <c r="O18" s="144">
        <f t="shared" si="10"/>
        <v>0</v>
      </c>
      <c r="P18" s="144">
        <v>0</v>
      </c>
      <c r="Q18" s="43"/>
      <c r="R18" s="143"/>
      <c r="S18" s="43"/>
      <c r="T18" s="42"/>
      <c r="U18" s="43"/>
      <c r="V18" s="42"/>
      <c r="W18" s="43"/>
      <c r="X18" s="42"/>
      <c r="Y18" s="40"/>
      <c r="Z18" s="40"/>
    </row>
    <row r="19" spans="1:26" x14ac:dyDescent="0.25">
      <c r="A19" s="63" t="s">
        <v>6</v>
      </c>
      <c r="B19" s="135">
        <v>1991</v>
      </c>
      <c r="C19" s="136">
        <v>0.05</v>
      </c>
      <c r="D19" s="135">
        <v>50</v>
      </c>
      <c r="E19" s="135">
        <f t="shared" si="0"/>
        <v>23</v>
      </c>
      <c r="F19" s="137">
        <f t="shared" si="1"/>
        <v>2.9411764705882353E-3</v>
      </c>
      <c r="G19" s="138">
        <f t="shared" si="2"/>
        <v>2.0457173352308101E-2</v>
      </c>
      <c r="H19" s="105">
        <f t="shared" si="5"/>
        <v>899772.41750422481</v>
      </c>
      <c r="I19" s="108">
        <f t="shared" si="3"/>
        <v>38524.396513386106</v>
      </c>
      <c r="J19" s="113">
        <f t="shared" si="4"/>
        <v>861248.02099083876</v>
      </c>
      <c r="K19" s="119">
        <f t="shared" si="6"/>
        <v>-39120.539891488035</v>
      </c>
      <c r="L19" s="123">
        <f t="shared" si="7"/>
        <v>77644.936404874141</v>
      </c>
      <c r="M19" s="129">
        <f t="shared" si="8"/>
        <v>822127.48109935073</v>
      </c>
      <c r="N19" s="94">
        <f t="shared" si="9"/>
        <v>1956026.9945744018</v>
      </c>
      <c r="O19" s="144">
        <f t="shared" si="10"/>
        <v>5.1999999999999998E-2</v>
      </c>
      <c r="P19" s="144">
        <v>0.05</v>
      </c>
      <c r="Q19" s="43"/>
      <c r="R19" s="143"/>
      <c r="S19" s="43"/>
      <c r="T19" s="42"/>
      <c r="U19" s="43"/>
      <c r="V19" s="42"/>
      <c r="W19" s="43"/>
      <c r="X19" s="42"/>
      <c r="Y19" s="40"/>
      <c r="Z19" s="40"/>
    </row>
    <row r="20" spans="1:26" x14ac:dyDescent="0.25">
      <c r="A20" s="63" t="s">
        <v>7</v>
      </c>
      <c r="B20" s="135">
        <v>1991</v>
      </c>
      <c r="C20" s="136">
        <v>0.03</v>
      </c>
      <c r="D20" s="135">
        <v>50</v>
      </c>
      <c r="E20" s="135">
        <f t="shared" si="0"/>
        <v>23</v>
      </c>
      <c r="F20" s="137">
        <f t="shared" si="1"/>
        <v>1.764705882352941E-3</v>
      </c>
      <c r="G20" s="138">
        <f t="shared" si="2"/>
        <v>1.227430401138486E-2</v>
      </c>
      <c r="H20" s="105">
        <f t="shared" si="5"/>
        <v>539863.45050253486</v>
      </c>
      <c r="I20" s="108">
        <f t="shared" si="3"/>
        <v>23114.637908031662</v>
      </c>
      <c r="J20" s="113">
        <f t="shared" si="4"/>
        <v>516748.81259450322</v>
      </c>
      <c r="K20" s="119">
        <f t="shared" si="6"/>
        <v>-23472.323934892822</v>
      </c>
      <c r="L20" s="123">
        <f t="shared" si="7"/>
        <v>46586.961842924487</v>
      </c>
      <c r="M20" s="129">
        <f t="shared" si="8"/>
        <v>493276.48865961039</v>
      </c>
      <c r="N20" s="94">
        <f>K20*D20*-1</f>
        <v>1173616.1967446411</v>
      </c>
      <c r="O20" s="144">
        <f t="shared" si="10"/>
        <v>3.1E-2</v>
      </c>
      <c r="P20" s="144">
        <v>0.03</v>
      </c>
      <c r="Q20" s="43"/>
      <c r="R20" s="143"/>
      <c r="S20" s="43"/>
      <c r="T20" s="42"/>
      <c r="U20" s="43"/>
      <c r="V20" s="42"/>
      <c r="W20" s="43"/>
      <c r="X20" s="42"/>
      <c r="Y20" s="40"/>
      <c r="Z20" s="40"/>
    </row>
    <row r="21" spans="1:26" x14ac:dyDescent="0.25">
      <c r="A21" s="63" t="s">
        <v>8</v>
      </c>
      <c r="B21" s="135">
        <v>1991</v>
      </c>
      <c r="C21" s="136">
        <v>0.03</v>
      </c>
      <c r="D21" s="135">
        <v>30</v>
      </c>
      <c r="E21" s="135">
        <f t="shared" si="0"/>
        <v>3</v>
      </c>
      <c r="F21" s="137">
        <f t="shared" si="1"/>
        <v>2.3017902813299233E-4</v>
      </c>
      <c r="G21" s="138">
        <f t="shared" si="2"/>
        <v>1.6009961753980252E-3</v>
      </c>
      <c r="H21" s="105">
        <f t="shared" si="5"/>
        <v>70416.971804678455</v>
      </c>
      <c r="I21" s="108">
        <f t="shared" si="3"/>
        <v>3014.9527706128256</v>
      </c>
      <c r="J21" s="113">
        <f t="shared" si="4"/>
        <v>67402.019034065626</v>
      </c>
      <c r="K21" s="119">
        <f t="shared" si="6"/>
        <v>-23472.323934892818</v>
      </c>
      <c r="L21" s="123">
        <f t="shared" si="7"/>
        <v>26487.276705505643</v>
      </c>
      <c r="M21" s="129">
        <f t="shared" si="8"/>
        <v>43929.695099172808</v>
      </c>
      <c r="N21" s="94">
        <f t="shared" si="9"/>
        <v>704169.71804678452</v>
      </c>
      <c r="O21" s="144">
        <f t="shared" si="10"/>
        <v>3.1E-2</v>
      </c>
      <c r="P21" s="144">
        <v>0.03</v>
      </c>
      <c r="Q21" s="43"/>
      <c r="R21" s="143"/>
      <c r="S21" s="43"/>
      <c r="T21" s="42"/>
      <c r="U21" s="43"/>
      <c r="V21" s="42"/>
      <c r="W21" s="43"/>
      <c r="X21" s="42"/>
      <c r="Y21" s="40"/>
      <c r="Z21" s="40"/>
    </row>
    <row r="22" spans="1:26" s="14" customFormat="1" x14ac:dyDescent="0.25">
      <c r="A22" s="63" t="s">
        <v>9</v>
      </c>
      <c r="B22" s="135">
        <v>2005</v>
      </c>
      <c r="C22" s="136">
        <v>0.02</v>
      </c>
      <c r="D22" s="135">
        <v>40</v>
      </c>
      <c r="E22" s="135">
        <f t="shared" si="0"/>
        <v>27</v>
      </c>
      <c r="F22" s="137">
        <f t="shared" si="1"/>
        <v>1.3810741687979538E-3</v>
      </c>
      <c r="G22" s="138">
        <f t="shared" si="2"/>
        <v>9.605977052388151E-3</v>
      </c>
      <c r="H22" s="105">
        <f t="shared" si="5"/>
        <v>422501.83082807076</v>
      </c>
      <c r="I22" s="108">
        <f t="shared" si="3"/>
        <v>18089.716623676952</v>
      </c>
      <c r="J22" s="113">
        <f t="shared" si="4"/>
        <v>404412.11420439382</v>
      </c>
      <c r="K22" s="119">
        <f t="shared" si="6"/>
        <v>-15648.215956595213</v>
      </c>
      <c r="L22" s="123">
        <f t="shared" si="7"/>
        <v>33737.932580272165</v>
      </c>
      <c r="M22" s="129">
        <f t="shared" si="8"/>
        <v>388763.89824779861</v>
      </c>
      <c r="N22" s="94">
        <f t="shared" si="9"/>
        <v>625928.63826380856</v>
      </c>
      <c r="O22" s="144">
        <f t="shared" si="10"/>
        <v>2.1000000000000001E-2</v>
      </c>
      <c r="P22" s="144">
        <v>0.02</v>
      </c>
      <c r="Q22" s="43"/>
      <c r="R22" s="143"/>
      <c r="S22" s="43"/>
      <c r="T22" s="42"/>
      <c r="U22" s="43"/>
      <c r="V22" s="42"/>
      <c r="W22" s="43"/>
      <c r="X22" s="42"/>
      <c r="Y22" s="40"/>
      <c r="Z22" s="40"/>
    </row>
    <row r="23" spans="1:26" x14ac:dyDescent="0.25">
      <c r="A23" s="66" t="s">
        <v>10</v>
      </c>
      <c r="B23" s="135">
        <v>1991</v>
      </c>
      <c r="C23" s="192">
        <v>5.0000000000000001E-3</v>
      </c>
      <c r="D23" s="135">
        <v>50</v>
      </c>
      <c r="E23" s="135">
        <f t="shared" si="0"/>
        <v>23</v>
      </c>
      <c r="F23" s="137">
        <f t="shared" si="1"/>
        <v>2.9411764705882356E-4</v>
      </c>
      <c r="G23" s="138">
        <f t="shared" si="2"/>
        <v>2.0457173352308104E-3</v>
      </c>
      <c r="H23" s="105">
        <f t="shared" si="5"/>
        <v>89977.241750422487</v>
      </c>
      <c r="I23" s="108">
        <f t="shared" si="3"/>
        <v>3852.4396513386109</v>
      </c>
      <c r="J23" s="113">
        <f t="shared" si="4"/>
        <v>86124.80209908387</v>
      </c>
      <c r="K23" s="119">
        <f t="shared" si="6"/>
        <v>-3912.0539891488038</v>
      </c>
      <c r="L23" s="123">
        <f t="shared" si="7"/>
        <v>7764.4936404874152</v>
      </c>
      <c r="M23" s="129">
        <f t="shared" si="8"/>
        <v>82212.74810993507</v>
      </c>
      <c r="N23" s="94">
        <f t="shared" si="9"/>
        <v>195602.69945744018</v>
      </c>
      <c r="O23" s="144">
        <f t="shared" si="10"/>
        <v>5.0000000000000001E-3</v>
      </c>
      <c r="P23" s="144">
        <v>0.02</v>
      </c>
      <c r="Q23" s="43"/>
      <c r="R23" s="143"/>
      <c r="S23" s="43"/>
      <c r="T23" s="42"/>
      <c r="U23" s="43"/>
      <c r="V23" s="42"/>
      <c r="W23" s="43"/>
      <c r="X23" s="42"/>
      <c r="Y23" s="40"/>
      <c r="Z23" s="40"/>
    </row>
    <row r="24" spans="1:26" x14ac:dyDescent="0.25">
      <c r="A24" s="63" t="s">
        <v>11</v>
      </c>
      <c r="B24" s="135">
        <v>1991</v>
      </c>
      <c r="C24" s="136">
        <v>0.02</v>
      </c>
      <c r="D24" s="135">
        <v>40</v>
      </c>
      <c r="E24" s="135">
        <f t="shared" si="0"/>
        <v>13</v>
      </c>
      <c r="F24" s="137">
        <f t="shared" si="1"/>
        <v>6.6496163682864455E-4</v>
      </c>
      <c r="G24" s="138">
        <f t="shared" si="2"/>
        <v>4.6251000622609621E-3</v>
      </c>
      <c r="H24" s="105">
        <f t="shared" si="5"/>
        <v>203426.80743573778</v>
      </c>
      <c r="I24" s="108">
        <f t="shared" si="3"/>
        <v>8709.8635595481628</v>
      </c>
      <c r="J24" s="113">
        <f t="shared" si="4"/>
        <v>194716.94387618962</v>
      </c>
      <c r="K24" s="119">
        <f t="shared" si="6"/>
        <v>-15648.215956595213</v>
      </c>
      <c r="L24" s="123">
        <f t="shared" si="7"/>
        <v>24358.079516143378</v>
      </c>
      <c r="M24" s="129">
        <f t="shared" si="8"/>
        <v>179068.72791959441</v>
      </c>
      <c r="N24" s="94">
        <f>K24*D24*-1</f>
        <v>625928.63826380856</v>
      </c>
      <c r="O24" s="144">
        <f t="shared" si="10"/>
        <v>2.1000000000000001E-2</v>
      </c>
      <c r="P24" s="144">
        <v>0.02</v>
      </c>
      <c r="Q24" s="43"/>
      <c r="R24" s="143"/>
      <c r="S24" s="43"/>
      <c r="T24" s="42"/>
      <c r="U24" s="43"/>
      <c r="V24" s="42"/>
      <c r="W24" s="43"/>
      <c r="X24" s="42"/>
      <c r="Y24" s="40"/>
      <c r="Z24" s="40"/>
    </row>
    <row r="25" spans="1:26" x14ac:dyDescent="0.25">
      <c r="A25" s="63" t="s">
        <v>12</v>
      </c>
      <c r="B25" s="135">
        <v>1991</v>
      </c>
      <c r="C25" s="136">
        <v>0.01</v>
      </c>
      <c r="D25" s="135">
        <v>20</v>
      </c>
      <c r="E25" s="135">
        <f t="shared" si="0"/>
        <v>0</v>
      </c>
      <c r="F25" s="137">
        <f t="shared" si="1"/>
        <v>0</v>
      </c>
      <c r="G25" s="138">
        <f t="shared" si="2"/>
        <v>0</v>
      </c>
      <c r="H25" s="105">
        <f t="shared" si="5"/>
        <v>0</v>
      </c>
      <c r="I25" s="108">
        <f t="shared" si="3"/>
        <v>0</v>
      </c>
      <c r="J25" s="113">
        <f t="shared" si="4"/>
        <v>0</v>
      </c>
      <c r="K25" s="119">
        <f t="shared" si="6"/>
        <v>0</v>
      </c>
      <c r="L25" s="123">
        <f t="shared" si="7"/>
        <v>0</v>
      </c>
      <c r="M25" s="129">
        <f t="shared" si="8"/>
        <v>0</v>
      </c>
      <c r="N25" s="94">
        <f t="shared" si="9"/>
        <v>0</v>
      </c>
      <c r="O25" s="144">
        <f t="shared" si="10"/>
        <v>0.01</v>
      </c>
      <c r="P25" s="144">
        <v>0.01</v>
      </c>
      <c r="Q25" s="43"/>
      <c r="R25" s="143"/>
      <c r="S25" s="43"/>
      <c r="T25" s="42"/>
      <c r="U25" s="43"/>
      <c r="V25" s="42"/>
      <c r="W25" s="43"/>
      <c r="X25" s="42"/>
      <c r="Y25" s="40"/>
      <c r="Z25" s="40"/>
    </row>
    <row r="26" spans="1:26" x14ac:dyDescent="0.25">
      <c r="A26" s="67" t="s">
        <v>13</v>
      </c>
      <c r="B26" s="139">
        <v>1991</v>
      </c>
      <c r="C26" s="140">
        <v>0.13</v>
      </c>
      <c r="D26" s="139">
        <v>50</v>
      </c>
      <c r="E26" s="139">
        <f t="shared" si="0"/>
        <v>23</v>
      </c>
      <c r="F26" s="141">
        <f t="shared" si="1"/>
        <v>7.6470588235294122E-3</v>
      </c>
      <c r="G26" s="142">
        <f t="shared" si="2"/>
        <v>5.3188650716001068E-2</v>
      </c>
      <c r="H26" s="106">
        <f t="shared" si="5"/>
        <v>2339408.2855109847</v>
      </c>
      <c r="I26" s="109">
        <f t="shared" si="3"/>
        <v>100163.43093480388</v>
      </c>
      <c r="J26" s="114">
        <f t="shared" si="4"/>
        <v>2239244.8545761807</v>
      </c>
      <c r="K26" s="119">
        <f t="shared" si="6"/>
        <v>-101713.4037178689</v>
      </c>
      <c r="L26" s="124">
        <f t="shared" si="7"/>
        <v>201876.83465267278</v>
      </c>
      <c r="M26" s="129">
        <f t="shared" si="8"/>
        <v>2137531.4508583117</v>
      </c>
      <c r="N26" s="94">
        <f t="shared" si="9"/>
        <v>5085670.1858934453</v>
      </c>
      <c r="O26" s="144">
        <f>1-SUM(O11:O25)</f>
        <v>0.13499999999999968</v>
      </c>
      <c r="P26" s="144">
        <v>0.13</v>
      </c>
      <c r="Q26" s="43"/>
      <c r="R26" s="143"/>
      <c r="S26" s="43"/>
      <c r="T26" s="42"/>
      <c r="U26" s="43"/>
      <c r="V26" s="42"/>
      <c r="W26" s="43"/>
      <c r="X26" s="42"/>
      <c r="Y26" s="40"/>
      <c r="Z26" s="40"/>
    </row>
    <row r="27" spans="1:26" x14ac:dyDescent="0.25">
      <c r="A27" s="80" t="s">
        <v>83</v>
      </c>
      <c r="B27" s="179" t="s">
        <v>72</v>
      </c>
      <c r="C27" s="180">
        <f>SUM(C11:C26)</f>
        <v>0.9650000000000003</v>
      </c>
      <c r="D27" s="181" t="s">
        <v>72</v>
      </c>
      <c r="E27" s="182">
        <f t="shared" ref="E27:P27" si="11">SUM(E11:E26)</f>
        <v>391</v>
      </c>
      <c r="F27" s="183">
        <f t="shared" si="11"/>
        <v>0.14377237851662406</v>
      </c>
      <c r="G27" s="180">
        <f t="shared" si="11"/>
        <v>0.99999999999999989</v>
      </c>
      <c r="H27" s="105">
        <f t="shared" si="11"/>
        <v>43983222.999999993</v>
      </c>
      <c r="I27" s="108">
        <f t="shared" si="11"/>
        <v>1883173</v>
      </c>
      <c r="J27" s="115">
        <f t="shared" si="11"/>
        <v>42100050</v>
      </c>
      <c r="K27" s="120">
        <f t="shared" si="11"/>
        <v>-723729.98799252859</v>
      </c>
      <c r="L27" s="125">
        <f t="shared" si="11"/>
        <v>2606902.9879925288</v>
      </c>
      <c r="M27" s="131">
        <f t="shared" si="11"/>
        <v>41376320.012007475</v>
      </c>
      <c r="N27" s="97">
        <f t="shared" si="11"/>
        <v>84774209.944854543</v>
      </c>
      <c r="O27" s="145">
        <f t="shared" si="11"/>
        <v>1</v>
      </c>
      <c r="P27" s="145">
        <f t="shared" si="11"/>
        <v>1</v>
      </c>
      <c r="Q27" s="42"/>
      <c r="R27" s="43"/>
      <c r="S27" s="42"/>
      <c r="T27" s="43"/>
      <c r="U27" s="42"/>
      <c r="V27" s="43"/>
      <c r="W27" s="42"/>
      <c r="X27" s="43"/>
      <c r="Y27" s="40"/>
      <c r="Z27" s="40"/>
    </row>
    <row r="28" spans="1:26" x14ac:dyDescent="0.25">
      <c r="A28" s="80" t="s">
        <v>84</v>
      </c>
      <c r="B28" s="184">
        <f t="shared" ref="B28:G28" si="12">AVERAGE(B11:B26)</f>
        <v>1981.375</v>
      </c>
      <c r="C28" s="185">
        <f t="shared" si="12"/>
        <v>6.0312500000000019E-2</v>
      </c>
      <c r="D28" s="186">
        <f t="shared" si="12"/>
        <v>59.0625</v>
      </c>
      <c r="E28" s="186">
        <f t="shared" si="12"/>
        <v>24.4375</v>
      </c>
      <c r="F28" s="187">
        <f t="shared" si="12"/>
        <v>8.9857736572890035E-3</v>
      </c>
      <c r="G28" s="185">
        <f t="shared" si="12"/>
        <v>6.2499999999999993E-2</v>
      </c>
      <c r="H28" s="16"/>
      <c r="I28" s="16"/>
      <c r="J28" s="16"/>
      <c r="K28" s="11"/>
      <c r="L28" s="43"/>
      <c r="M28" s="42"/>
      <c r="N28" s="93"/>
      <c r="O28" s="143"/>
      <c r="P28" s="43"/>
      <c r="Q28" s="42"/>
      <c r="R28" s="43"/>
      <c r="S28" s="42"/>
      <c r="T28" s="43"/>
      <c r="U28" s="42"/>
      <c r="V28" s="43"/>
      <c r="W28" s="42"/>
      <c r="X28" s="43"/>
      <c r="Y28" s="40"/>
      <c r="Z28" s="40"/>
    </row>
    <row r="29" spans="1:26" x14ac:dyDescent="0.25">
      <c r="A29" s="80" t="s">
        <v>85</v>
      </c>
      <c r="B29" s="188">
        <f>SUMPRODUCT(B11:B26,C11:C26)/SUM(C11:C26)</f>
        <v>1961.1139896373049</v>
      </c>
      <c r="C29" s="189"/>
      <c r="D29" s="188">
        <f>SUMPRODUCT(D11:D26,C11:C26)/SUM(C11:C26)</f>
        <v>114.35233160621759</v>
      </c>
      <c r="E29" s="188">
        <f>SUMPRODUCT(E11:E26,C11:C26)/SUM(C11:C26)</f>
        <v>58.25388601036267</v>
      </c>
      <c r="F29" s="189"/>
      <c r="G29" s="189"/>
      <c r="H29" s="90"/>
      <c r="I29" s="16"/>
      <c r="J29" s="16"/>
      <c r="K29" s="11"/>
      <c r="L29" s="43"/>
      <c r="M29" s="42"/>
      <c r="N29" s="93"/>
      <c r="O29" s="42"/>
      <c r="P29" s="43"/>
      <c r="Q29" s="42"/>
      <c r="R29" s="43"/>
      <c r="S29" s="42"/>
      <c r="T29" s="43"/>
      <c r="U29" s="42"/>
      <c r="V29" s="43"/>
      <c r="W29" s="42"/>
      <c r="X29" s="43"/>
      <c r="Y29" s="40"/>
      <c r="Z29" s="40"/>
    </row>
    <row r="30" spans="1:26" x14ac:dyDescent="0.25">
      <c r="D30" s="16"/>
      <c r="E30" s="16"/>
      <c r="F30" s="14"/>
      <c r="G30" s="14"/>
      <c r="H30" s="14"/>
      <c r="I30" s="14"/>
    </row>
    <row r="31" spans="1:26" ht="30" x14ac:dyDescent="0.25">
      <c r="A31" s="132" t="s">
        <v>76</v>
      </c>
      <c r="B31" s="91" t="s">
        <v>71</v>
      </c>
      <c r="C31" s="91" t="s">
        <v>77</v>
      </c>
      <c r="D31" s="91" t="s">
        <v>78</v>
      </c>
      <c r="E31" s="104" t="s">
        <v>26</v>
      </c>
      <c r="F31" s="107" t="s">
        <v>27</v>
      </c>
      <c r="G31" s="133" t="s">
        <v>43</v>
      </c>
      <c r="H31" s="118" t="s">
        <v>86</v>
      </c>
      <c r="I31" s="122" t="s">
        <v>46</v>
      </c>
      <c r="J31" s="128" t="s">
        <v>47</v>
      </c>
      <c r="X31"/>
    </row>
    <row r="32" spans="1:26" x14ac:dyDescent="0.25">
      <c r="A32" s="64" t="s">
        <v>48</v>
      </c>
      <c r="B32" s="45">
        <v>42005</v>
      </c>
      <c r="C32" s="44">
        <v>15</v>
      </c>
      <c r="D32" s="46">
        <f t="shared" ref="D32:D38" si="13">IF(C32-ROUND(($B$8-B32)/365,2)&lt;0,0,C32-ROUND(($B$8-B32)/365,2))</f>
        <v>11</v>
      </c>
      <c r="E32" s="102">
        <v>611537</v>
      </c>
      <c r="F32" s="110">
        <v>46877</v>
      </c>
      <c r="G32" s="116">
        <v>554861</v>
      </c>
      <c r="H32" s="121">
        <f t="shared" ref="H32:H38" si="14">E32/C32*-1</f>
        <v>-40769.133333333331</v>
      </c>
      <c r="I32" s="126">
        <f t="shared" ref="I32:I38" si="15">F32-H32</f>
        <v>87646.133333333331</v>
      </c>
      <c r="J32" s="130">
        <f t="shared" ref="J32:J38" si="16">E32-I32</f>
        <v>523890.8666666667</v>
      </c>
      <c r="K32" s="42"/>
      <c r="L32" s="39"/>
      <c r="M32" s="42"/>
      <c r="N32" s="92"/>
      <c r="O32" s="42"/>
      <c r="P32" s="39"/>
      <c r="Q32" s="42"/>
      <c r="R32" s="39"/>
      <c r="S32" s="42"/>
      <c r="T32" s="39"/>
      <c r="U32" s="42"/>
      <c r="X32"/>
    </row>
    <row r="33" spans="1:24" x14ac:dyDescent="0.25">
      <c r="A33" s="64" t="s">
        <v>49</v>
      </c>
      <c r="B33" s="45">
        <v>42005</v>
      </c>
      <c r="C33" s="44">
        <v>10</v>
      </c>
      <c r="D33" s="46">
        <f t="shared" si="13"/>
        <v>6</v>
      </c>
      <c r="E33" s="102">
        <v>504258</v>
      </c>
      <c r="F33" s="110">
        <v>55474</v>
      </c>
      <c r="G33" s="116">
        <v>458583</v>
      </c>
      <c r="H33" s="121">
        <f t="shared" si="14"/>
        <v>-50425.8</v>
      </c>
      <c r="I33" s="126">
        <f t="shared" si="15"/>
        <v>105899.8</v>
      </c>
      <c r="J33" s="130">
        <f t="shared" si="16"/>
        <v>398358.2</v>
      </c>
      <c r="K33" s="42"/>
      <c r="L33" s="39"/>
      <c r="M33" s="42"/>
      <c r="N33" s="92"/>
      <c r="O33" s="42"/>
      <c r="P33" s="39"/>
      <c r="Q33" s="42"/>
      <c r="R33" s="39"/>
      <c r="S33" s="42"/>
      <c r="T33" s="39"/>
      <c r="U33" s="42"/>
      <c r="X33"/>
    </row>
    <row r="34" spans="1:24" x14ac:dyDescent="0.25">
      <c r="A34" s="64" t="s">
        <v>50</v>
      </c>
      <c r="B34" s="45">
        <v>42278</v>
      </c>
      <c r="C34" s="44">
        <v>10</v>
      </c>
      <c r="D34" s="46">
        <f t="shared" si="13"/>
        <v>6.75</v>
      </c>
      <c r="E34" s="102">
        <v>648475</v>
      </c>
      <c r="F34" s="110">
        <v>81192</v>
      </c>
      <c r="G34" s="116">
        <v>502436</v>
      </c>
      <c r="H34" s="121">
        <f t="shared" si="14"/>
        <v>-64847.5</v>
      </c>
      <c r="I34" s="126">
        <f t="shared" si="15"/>
        <v>146039.5</v>
      </c>
      <c r="J34" s="130">
        <f t="shared" si="16"/>
        <v>502435.5</v>
      </c>
      <c r="K34" s="42"/>
      <c r="L34" s="39"/>
      <c r="M34" s="42"/>
      <c r="N34" s="92"/>
      <c r="O34" s="42"/>
      <c r="P34" s="39"/>
      <c r="Q34" s="42"/>
      <c r="R34" s="39"/>
      <c r="S34" s="42"/>
      <c r="T34" s="39"/>
      <c r="U34" s="42"/>
      <c r="X34"/>
    </row>
    <row r="35" spans="1:24" s="14" customFormat="1" x14ac:dyDescent="0.25">
      <c r="A35" s="65" t="s">
        <v>51</v>
      </c>
      <c r="B35" s="60">
        <v>38353</v>
      </c>
      <c r="C35" s="59">
        <v>25</v>
      </c>
      <c r="D35" s="61">
        <f t="shared" si="13"/>
        <v>10.99</v>
      </c>
      <c r="E35" s="102">
        <v>1245359</v>
      </c>
      <c r="F35" s="110">
        <v>398512</v>
      </c>
      <c r="G35" s="116">
        <v>846847</v>
      </c>
      <c r="H35" s="121">
        <f t="shared" si="14"/>
        <v>-49814.36</v>
      </c>
      <c r="I35" s="126">
        <f t="shared" si="15"/>
        <v>448326.36</v>
      </c>
      <c r="J35" s="130">
        <f t="shared" si="16"/>
        <v>797032.64</v>
      </c>
      <c r="K35" s="42"/>
      <c r="L35" s="39"/>
      <c r="M35" s="42"/>
      <c r="N35" s="92"/>
      <c r="O35" s="42"/>
      <c r="P35" s="39"/>
      <c r="Q35" s="42"/>
      <c r="R35" s="39"/>
      <c r="S35" s="42"/>
      <c r="T35" s="39"/>
      <c r="U35" s="42"/>
      <c r="V35" s="40"/>
      <c r="W35" s="40"/>
    </row>
    <row r="36" spans="1:24" x14ac:dyDescent="0.25">
      <c r="A36" s="64" t="s">
        <v>52</v>
      </c>
      <c r="B36" s="45">
        <v>43100</v>
      </c>
      <c r="C36" s="44">
        <v>10</v>
      </c>
      <c r="D36" s="46">
        <f t="shared" si="13"/>
        <v>9</v>
      </c>
      <c r="E36" s="102">
        <v>94708</v>
      </c>
      <c r="F36" s="110">
        <v>17479</v>
      </c>
      <c r="G36" s="116">
        <f>E36+H36*(C36-D36)</f>
        <v>85237.2</v>
      </c>
      <c r="H36" s="121">
        <f t="shared" si="14"/>
        <v>-9470.7999999999993</v>
      </c>
      <c r="I36" s="126">
        <f t="shared" si="15"/>
        <v>26949.8</v>
      </c>
      <c r="J36" s="130">
        <f t="shared" si="16"/>
        <v>67758.2</v>
      </c>
      <c r="K36" s="42"/>
      <c r="L36" s="39"/>
      <c r="M36" s="42"/>
      <c r="N36" s="92"/>
      <c r="O36" s="42"/>
      <c r="P36" s="39"/>
      <c r="Q36" s="42"/>
      <c r="R36" s="39"/>
      <c r="S36" s="42"/>
      <c r="T36" s="39"/>
      <c r="U36" s="42"/>
      <c r="X36"/>
    </row>
    <row r="37" spans="1:24" x14ac:dyDescent="0.25">
      <c r="A37" s="64" t="s">
        <v>73</v>
      </c>
      <c r="B37" s="45">
        <v>43009</v>
      </c>
      <c r="C37" s="44">
        <v>50</v>
      </c>
      <c r="D37" s="46">
        <f t="shared" si="13"/>
        <v>48.75</v>
      </c>
      <c r="E37" s="102">
        <v>2621293</v>
      </c>
      <c r="F37" s="110">
        <v>17475</v>
      </c>
      <c r="G37" s="116">
        <f>E37+H37*(C37-D37)</f>
        <v>2555760.6749999998</v>
      </c>
      <c r="H37" s="121">
        <f t="shared" si="14"/>
        <v>-52425.86</v>
      </c>
      <c r="I37" s="126">
        <f t="shared" si="15"/>
        <v>69900.86</v>
      </c>
      <c r="J37" s="130">
        <f t="shared" si="16"/>
        <v>2551392.14</v>
      </c>
      <c r="K37" s="42"/>
      <c r="L37" s="39"/>
      <c r="M37" s="42"/>
      <c r="N37" s="92"/>
      <c r="O37" s="42"/>
      <c r="P37" s="39"/>
      <c r="Q37" s="42"/>
      <c r="R37" s="39"/>
      <c r="S37" s="42"/>
      <c r="T37" s="39"/>
      <c r="U37" s="42"/>
      <c r="X37"/>
    </row>
    <row r="38" spans="1:24" x14ac:dyDescent="0.25">
      <c r="A38" s="64" t="s">
        <v>54</v>
      </c>
      <c r="B38" s="45">
        <v>43281</v>
      </c>
      <c r="C38" s="44">
        <v>10</v>
      </c>
      <c r="D38" s="46">
        <f t="shared" si="13"/>
        <v>9.5</v>
      </c>
      <c r="E38" s="102">
        <v>154282</v>
      </c>
      <c r="F38" s="110">
        <v>5143</v>
      </c>
      <c r="G38" s="116">
        <f>E38+H38*(C38-D38)</f>
        <v>146567.9</v>
      </c>
      <c r="H38" s="121">
        <f t="shared" si="14"/>
        <v>-15428.2</v>
      </c>
      <c r="I38" s="126">
        <f t="shared" si="15"/>
        <v>20571.2</v>
      </c>
      <c r="J38" s="130">
        <f t="shared" si="16"/>
        <v>133710.79999999999</v>
      </c>
      <c r="K38" s="42"/>
      <c r="L38" s="39"/>
      <c r="M38" s="42"/>
      <c r="N38" s="92"/>
      <c r="O38" s="42"/>
      <c r="P38" s="39"/>
      <c r="Q38" s="42"/>
      <c r="R38" s="39"/>
      <c r="S38" s="42"/>
      <c r="T38" s="39"/>
      <c r="U38" s="42"/>
      <c r="X38"/>
    </row>
    <row r="39" spans="1:24" x14ac:dyDescent="0.25">
      <c r="A39" s="51"/>
      <c r="B39" s="52"/>
      <c r="C39" s="52"/>
      <c r="D39" s="32"/>
      <c r="E39" s="103">
        <f t="shared" ref="E39:J39" si="17">SUM(E32:E38)</f>
        <v>5879912</v>
      </c>
      <c r="F39" s="111">
        <f t="shared" si="17"/>
        <v>622152</v>
      </c>
      <c r="G39" s="117">
        <f t="shared" si="17"/>
        <v>5150292.7750000004</v>
      </c>
      <c r="H39" s="120">
        <f t="shared" si="17"/>
        <v>-283181.65333333332</v>
      </c>
      <c r="I39" s="127">
        <f t="shared" si="17"/>
        <v>905333.65333333332</v>
      </c>
      <c r="J39" s="131">
        <f t="shared" si="17"/>
        <v>4974578.3466666667</v>
      </c>
      <c r="X39"/>
    </row>
    <row r="40" spans="1:24" x14ac:dyDescent="0.25">
      <c r="A40" s="37"/>
      <c r="B40" s="38"/>
      <c r="C40" s="38"/>
      <c r="I40" s="40"/>
      <c r="X40"/>
    </row>
    <row r="41" spans="1:24" x14ac:dyDescent="0.25">
      <c r="A41" s="12"/>
      <c r="B41" s="11"/>
      <c r="C41" s="11"/>
      <c r="I41" s="40"/>
      <c r="X41"/>
    </row>
    <row r="42" spans="1:24" x14ac:dyDescent="0.25">
      <c r="A42" s="54" t="s">
        <v>55</v>
      </c>
      <c r="B42" s="55"/>
      <c r="C42" s="55"/>
      <c r="D42" s="56"/>
      <c r="E42" s="56">
        <f t="shared" ref="E42:J42" si="18">H27+E39</f>
        <v>49863134.999999993</v>
      </c>
      <c r="F42" s="57">
        <f t="shared" si="18"/>
        <v>2505325</v>
      </c>
      <c r="G42" s="57">
        <f t="shared" si="18"/>
        <v>47250342.774999999</v>
      </c>
      <c r="H42" s="57">
        <f t="shared" si="18"/>
        <v>-1006911.6413258619</v>
      </c>
      <c r="I42" s="58">
        <f t="shared" si="18"/>
        <v>3512236.6413258621</v>
      </c>
      <c r="J42" s="58">
        <f t="shared" si="18"/>
        <v>46350898.358674139</v>
      </c>
      <c r="X42"/>
    </row>
    <row r="46" spans="1:24" x14ac:dyDescent="0.25">
      <c r="H46" s="40"/>
      <c r="I46" s="40"/>
      <c r="V46"/>
      <c r="W46"/>
      <c r="X46"/>
    </row>
    <row r="47" spans="1:24" x14ac:dyDescent="0.25">
      <c r="A47" t="s">
        <v>57</v>
      </c>
      <c r="H47" s="40"/>
      <c r="I47" s="40"/>
      <c r="V47"/>
      <c r="W47"/>
      <c r="X47"/>
    </row>
    <row r="48" spans="1:24" x14ac:dyDescent="0.25">
      <c r="B48" t="s">
        <v>59</v>
      </c>
      <c r="H48" s="40"/>
      <c r="I48" s="40"/>
      <c r="V48"/>
      <c r="W48"/>
      <c r="X48"/>
    </row>
    <row r="49" spans="2:24" x14ac:dyDescent="0.25">
      <c r="B49" t="s">
        <v>56</v>
      </c>
      <c r="H49" s="40"/>
      <c r="I49" s="40"/>
      <c r="V49"/>
      <c r="W49"/>
      <c r="X49"/>
    </row>
    <row r="50" spans="2:24" x14ac:dyDescent="0.25">
      <c r="H50" s="40"/>
      <c r="I50" s="40"/>
      <c r="V50"/>
      <c r="W50"/>
      <c r="X50"/>
    </row>
    <row r="51" spans="2:24" x14ac:dyDescent="0.25">
      <c r="B51" t="s">
        <v>58</v>
      </c>
      <c r="H51" s="40"/>
      <c r="I51" s="40"/>
      <c r="V51"/>
      <c r="W51"/>
      <c r="X51"/>
    </row>
    <row r="52" spans="2:24" x14ac:dyDescent="0.25">
      <c r="H52" s="40"/>
      <c r="I52" s="40"/>
      <c r="V52"/>
      <c r="W52"/>
      <c r="X52"/>
    </row>
    <row r="53" spans="2:24" x14ac:dyDescent="0.25">
      <c r="H53" s="40"/>
      <c r="I53" s="40"/>
      <c r="V53"/>
      <c r="W53"/>
      <c r="X53"/>
    </row>
    <row r="54" spans="2:24" x14ac:dyDescent="0.25">
      <c r="H54" s="40"/>
      <c r="I54" s="40"/>
      <c r="V54"/>
      <c r="W54"/>
      <c r="X54"/>
    </row>
    <row r="55" spans="2:24" x14ac:dyDescent="0.25">
      <c r="H55" s="40"/>
      <c r="I55" s="40"/>
      <c r="V55"/>
      <c r="W55"/>
      <c r="X55"/>
    </row>
    <row r="56" spans="2:24" x14ac:dyDescent="0.25">
      <c r="H56" s="40"/>
      <c r="I56" s="40"/>
      <c r="V56"/>
      <c r="W56"/>
      <c r="X56"/>
    </row>
    <row r="57" spans="2:24" x14ac:dyDescent="0.25">
      <c r="H57" s="40"/>
      <c r="I57" s="40"/>
      <c r="V57"/>
      <c r="W57"/>
      <c r="X57"/>
    </row>
    <row r="58" spans="2:24" x14ac:dyDescent="0.25">
      <c r="H58" s="40"/>
      <c r="I58" s="40"/>
      <c r="V58"/>
      <c r="W58"/>
      <c r="X58"/>
    </row>
    <row r="59" spans="2:24" x14ac:dyDescent="0.25">
      <c r="H59" s="40"/>
      <c r="I59" s="40"/>
      <c r="V59"/>
      <c r="W59"/>
      <c r="X59"/>
    </row>
    <row r="60" spans="2:24" x14ac:dyDescent="0.25">
      <c r="H60" s="40"/>
      <c r="I60" s="40"/>
      <c r="V60"/>
      <c r="W60"/>
      <c r="X60"/>
    </row>
  </sheetData>
  <mergeCells count="4">
    <mergeCell ref="B5:C5"/>
    <mergeCell ref="B6:C6"/>
    <mergeCell ref="B7:C7"/>
    <mergeCell ref="B8:C8"/>
  </mergeCells>
  <pageMargins left="0.7" right="0.7" top="0.75" bottom="0.75" header="0.3" footer="0.3"/>
  <pageSetup paperSize="9" scale="66" fitToHeight="0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729832-CFA5-481E-A80F-808258494612}">
  <sheetPr>
    <pageSetUpPr fitToPage="1"/>
  </sheetPr>
  <dimension ref="A1:AA60"/>
  <sheetViews>
    <sheetView showGridLines="0" workbookViewId="0">
      <selection activeCell="E11" sqref="E11"/>
    </sheetView>
  </sheetViews>
  <sheetFormatPr defaultRowHeight="15" x14ac:dyDescent="0.25"/>
  <cols>
    <col min="1" max="1" width="36.28515625" customWidth="1"/>
    <col min="2" max="2" width="12.28515625" customWidth="1"/>
    <col min="3" max="3" width="14.5703125" customWidth="1"/>
    <col min="4" max="4" width="11.28515625" style="3" customWidth="1"/>
    <col min="5" max="5" width="15.7109375" style="3" customWidth="1"/>
    <col min="6" max="7" width="13.5703125" customWidth="1"/>
    <col min="8" max="8" width="13.5703125" bestFit="1" customWidth="1"/>
    <col min="9" max="9" width="16.140625" customWidth="1"/>
    <col min="10" max="10" width="15.85546875" style="40" customWidth="1"/>
    <col min="11" max="11" width="15" style="40" customWidth="1"/>
    <col min="12" max="12" width="15.140625" style="40" customWidth="1"/>
    <col min="13" max="13" width="15.42578125" style="40" customWidth="1"/>
    <col min="14" max="14" width="14.85546875" style="95" customWidth="1"/>
    <col min="15" max="15" width="13.42578125" style="40" customWidth="1"/>
    <col min="16" max="16" width="13.28515625" style="40" bestFit="1" customWidth="1"/>
    <col min="17" max="17" width="12.42578125" style="40" customWidth="1"/>
    <col min="18" max="18" width="13.28515625" style="40" bestFit="1" customWidth="1"/>
    <col min="19" max="19" width="12.42578125" style="40" customWidth="1"/>
    <col min="20" max="20" width="15.5703125" style="40" customWidth="1"/>
    <col min="21" max="21" width="12.140625" style="40" customWidth="1"/>
    <col min="22" max="22" width="14.28515625" style="40" customWidth="1"/>
    <col min="23" max="24" width="9.140625" style="40"/>
  </cols>
  <sheetData>
    <row r="1" spans="1:27" x14ac:dyDescent="0.25">
      <c r="A1" s="1" t="s">
        <v>44</v>
      </c>
    </row>
    <row r="2" spans="1:27" x14ac:dyDescent="0.25">
      <c r="A2" s="40" t="s">
        <v>103</v>
      </c>
      <c r="E2"/>
      <c r="F2" s="40"/>
      <c r="G2" s="40"/>
      <c r="H2" s="40"/>
      <c r="I2" s="40"/>
      <c r="U2"/>
      <c r="V2"/>
      <c r="W2"/>
      <c r="X2"/>
    </row>
    <row r="3" spans="1:27" x14ac:dyDescent="0.25">
      <c r="A3" s="40" t="s">
        <v>106</v>
      </c>
      <c r="B3" s="14"/>
      <c r="C3" s="14"/>
      <c r="E3"/>
      <c r="F3" s="40"/>
      <c r="G3" s="40"/>
      <c r="H3" s="40"/>
      <c r="I3" s="40"/>
      <c r="U3"/>
      <c r="V3"/>
      <c r="W3"/>
      <c r="X3"/>
    </row>
    <row r="4" spans="1:27" x14ac:dyDescent="0.25">
      <c r="B4" s="14"/>
      <c r="C4" s="14"/>
      <c r="D4" s="16"/>
      <c r="E4"/>
      <c r="F4" s="40"/>
      <c r="G4" s="40"/>
      <c r="H4" s="40"/>
      <c r="I4" s="40"/>
      <c r="U4"/>
      <c r="V4"/>
      <c r="W4"/>
      <c r="X4"/>
    </row>
    <row r="5" spans="1:27" x14ac:dyDescent="0.25">
      <c r="A5" s="99" t="s">
        <v>20</v>
      </c>
      <c r="B5" s="201">
        <v>43983223</v>
      </c>
      <c r="C5" s="202"/>
      <c r="D5" s="16"/>
      <c r="E5"/>
      <c r="G5" s="40"/>
      <c r="H5" s="40"/>
      <c r="I5" s="40"/>
      <c r="V5"/>
      <c r="W5"/>
      <c r="X5"/>
    </row>
    <row r="6" spans="1:27" x14ac:dyDescent="0.25">
      <c r="A6" s="99" t="s">
        <v>21</v>
      </c>
      <c r="B6" s="201">
        <v>1883173</v>
      </c>
      <c r="C6" s="202"/>
      <c r="D6" s="16"/>
      <c r="F6" s="8"/>
      <c r="G6" s="8"/>
    </row>
    <row r="7" spans="1:27" x14ac:dyDescent="0.25">
      <c r="A7" s="100" t="s">
        <v>75</v>
      </c>
      <c r="B7" s="203">
        <v>2018</v>
      </c>
      <c r="C7" s="204"/>
    </row>
    <row r="8" spans="1:27" x14ac:dyDescent="0.25">
      <c r="A8" s="101" t="s">
        <v>37</v>
      </c>
      <c r="B8" s="205">
        <v>43465</v>
      </c>
      <c r="C8" s="206"/>
    </row>
    <row r="9" spans="1:27" x14ac:dyDescent="0.25">
      <c r="F9" s="3"/>
      <c r="J9"/>
      <c r="N9" s="40"/>
      <c r="O9" s="95"/>
      <c r="Y9" s="40"/>
    </row>
    <row r="10" spans="1:27" ht="45" x14ac:dyDescent="0.25">
      <c r="A10" s="89" t="s">
        <v>24</v>
      </c>
      <c r="B10" s="134" t="s">
        <v>71</v>
      </c>
      <c r="C10" s="134" t="s">
        <v>91</v>
      </c>
      <c r="D10" s="134" t="s">
        <v>89</v>
      </c>
      <c r="E10" s="193" t="s">
        <v>107</v>
      </c>
      <c r="F10" s="134" t="s">
        <v>78</v>
      </c>
      <c r="G10" s="134" t="s">
        <v>79</v>
      </c>
      <c r="H10" s="134" t="s">
        <v>80</v>
      </c>
      <c r="I10" s="104" t="s">
        <v>26</v>
      </c>
      <c r="J10" s="107" t="s">
        <v>27</v>
      </c>
      <c r="K10" s="112" t="s">
        <v>43</v>
      </c>
      <c r="L10" s="118" t="s">
        <v>45</v>
      </c>
      <c r="M10" s="122" t="s">
        <v>46</v>
      </c>
      <c r="N10" s="128" t="s">
        <v>47</v>
      </c>
      <c r="O10" s="96" t="s">
        <v>87</v>
      </c>
      <c r="P10" s="96" t="s">
        <v>92</v>
      </c>
      <c r="Q10" s="96" t="s">
        <v>94</v>
      </c>
      <c r="R10" s="39"/>
      <c r="S10" s="41"/>
      <c r="T10" s="39"/>
      <c r="U10" s="41"/>
      <c r="V10" s="39"/>
      <c r="W10" s="41"/>
      <c r="X10" s="39"/>
      <c r="Y10" s="41"/>
      <c r="Z10" s="40"/>
      <c r="AA10" s="40"/>
    </row>
    <row r="11" spans="1:27" x14ac:dyDescent="0.25">
      <c r="A11" s="63" t="s">
        <v>1</v>
      </c>
      <c r="B11" s="135">
        <v>1935</v>
      </c>
      <c r="C11" s="136">
        <v>0.3</v>
      </c>
      <c r="D11" s="135">
        <v>200</v>
      </c>
      <c r="E11" s="194">
        <f>IF(D11-(2001-B11)&lt;0,0,D11-(2001-B11))</f>
        <v>134</v>
      </c>
      <c r="F11" s="135">
        <f t="shared" ref="F11:F26" si="0">IF(D11-($B$7-B11)&gt;0,D11-($B$7-B11),0)</f>
        <v>117</v>
      </c>
      <c r="G11" s="137">
        <f t="shared" ref="G11:G26" si="1">F11/SUM($F$11:$F$26)*C11</f>
        <v>8.9769820971867004E-2</v>
      </c>
      <c r="H11" s="138">
        <f t="shared" ref="H11:H26" si="2">G11/$G$27</f>
        <v>0.62438850840522986</v>
      </c>
      <c r="I11" s="105">
        <f>$B$5*H11</f>
        <v>27462619.003824599</v>
      </c>
      <c r="J11" s="108">
        <f t="shared" ref="J11:J26" si="3">H11*$B$6</f>
        <v>1175831.5805390019</v>
      </c>
      <c r="K11" s="113">
        <f t="shared" ref="K11:K26" si="4">I11-J11</f>
        <v>26286787.423285596</v>
      </c>
      <c r="L11" s="119">
        <f>IFERROR(I11/E11*-1,0)</f>
        <v>-204944.91793898956</v>
      </c>
      <c r="M11" s="123">
        <f>J11-L11</f>
        <v>1380776.4984779914</v>
      </c>
      <c r="N11" s="129">
        <f>K11+L11</f>
        <v>26081842.505346607</v>
      </c>
      <c r="O11" s="94">
        <f t="shared" ref="O11:O26" si="5">L11*D11*-1</f>
        <v>40988983.58779791</v>
      </c>
      <c r="P11" s="144">
        <f t="shared" ref="P11:P25" si="6">ROUND(C11/$C$27,3)</f>
        <v>0.311</v>
      </c>
      <c r="Q11" s="144">
        <v>0.3</v>
      </c>
      <c r="R11" s="43"/>
      <c r="S11" s="143"/>
      <c r="T11" s="43"/>
      <c r="U11" s="42"/>
      <c r="V11" s="43"/>
      <c r="W11" s="42"/>
      <c r="X11" s="43"/>
      <c r="Y11" s="42"/>
      <c r="Z11" s="40"/>
      <c r="AA11" s="40"/>
    </row>
    <row r="12" spans="1:27" x14ac:dyDescent="0.25">
      <c r="A12" s="63" t="s">
        <v>2</v>
      </c>
      <c r="B12" s="135">
        <v>1935</v>
      </c>
      <c r="C12" s="136">
        <v>0.19</v>
      </c>
      <c r="D12" s="135">
        <v>150</v>
      </c>
      <c r="E12" s="194">
        <f t="shared" ref="E12:E26" si="7">IF(D12-(2001-B12)&lt;0,0,D12-(2001-B12))</f>
        <v>84</v>
      </c>
      <c r="F12" s="135">
        <f t="shared" si="0"/>
        <v>67</v>
      </c>
      <c r="G12" s="137">
        <f t="shared" si="1"/>
        <v>3.2557544757033249E-2</v>
      </c>
      <c r="H12" s="138">
        <f t="shared" si="2"/>
        <v>0.22645201458685402</v>
      </c>
      <c r="I12" s="105">
        <f t="shared" ref="I12:I26" si="8">$B$5*H12</f>
        <v>9960089.4563728534</v>
      </c>
      <c r="J12" s="108">
        <f t="shared" si="3"/>
        <v>426448.31966556964</v>
      </c>
      <c r="K12" s="113">
        <f t="shared" si="4"/>
        <v>9533641.1367072836</v>
      </c>
      <c r="L12" s="119">
        <f t="shared" ref="L12:L26" si="9">IFERROR(I12/E12*-1,0)</f>
        <v>-118572.49352824825</v>
      </c>
      <c r="M12" s="123">
        <f t="shared" ref="M12:M26" si="10">J12-L12</f>
        <v>545020.81319381786</v>
      </c>
      <c r="N12" s="129">
        <f t="shared" ref="N12:N26" si="11">K12+L12</f>
        <v>9415068.6431790348</v>
      </c>
      <c r="O12" s="94">
        <f t="shared" si="5"/>
        <v>17785874.029237237</v>
      </c>
      <c r="P12" s="144">
        <f t="shared" si="6"/>
        <v>0.19700000000000001</v>
      </c>
      <c r="Q12" s="144">
        <v>0.19</v>
      </c>
      <c r="R12" s="43"/>
      <c r="S12" s="143"/>
      <c r="T12" s="43"/>
      <c r="U12" s="42"/>
      <c r="V12" s="43"/>
      <c r="W12" s="42"/>
      <c r="X12" s="43"/>
      <c r="Y12" s="42"/>
      <c r="Z12" s="40"/>
      <c r="AA12" s="40"/>
    </row>
    <row r="13" spans="1:27" x14ac:dyDescent="0.25">
      <c r="A13" s="63" t="s">
        <v>81</v>
      </c>
      <c r="B13" s="135">
        <v>1991</v>
      </c>
      <c r="C13" s="136">
        <v>0.03</v>
      </c>
      <c r="D13" s="135">
        <v>50</v>
      </c>
      <c r="E13" s="194">
        <f t="shared" si="7"/>
        <v>40</v>
      </c>
      <c r="F13" s="135">
        <f t="shared" si="0"/>
        <v>23</v>
      </c>
      <c r="G13" s="137">
        <f t="shared" si="1"/>
        <v>1.764705882352941E-3</v>
      </c>
      <c r="H13" s="138">
        <f t="shared" si="2"/>
        <v>1.227430401138486E-2</v>
      </c>
      <c r="I13" s="105">
        <f t="shared" si="8"/>
        <v>539863.45050253486</v>
      </c>
      <c r="J13" s="108">
        <f t="shared" si="3"/>
        <v>23114.637908031662</v>
      </c>
      <c r="K13" s="113">
        <f t="shared" si="4"/>
        <v>516748.81259450322</v>
      </c>
      <c r="L13" s="119">
        <f t="shared" si="9"/>
        <v>-13496.586262563371</v>
      </c>
      <c r="M13" s="123">
        <f t="shared" si="10"/>
        <v>36611.224170595029</v>
      </c>
      <c r="N13" s="129">
        <f t="shared" si="11"/>
        <v>503252.22633193986</v>
      </c>
      <c r="O13" s="94">
        <f t="shared" si="5"/>
        <v>674829.31312816858</v>
      </c>
      <c r="P13" s="144">
        <f t="shared" si="6"/>
        <v>3.1E-2</v>
      </c>
      <c r="Q13" s="144">
        <v>0.12</v>
      </c>
      <c r="R13" s="43"/>
      <c r="S13" s="143"/>
      <c r="T13" s="43"/>
      <c r="U13" s="42"/>
      <c r="V13" s="43"/>
      <c r="W13" s="42"/>
      <c r="X13" s="43"/>
      <c r="Y13" s="42"/>
      <c r="Z13" s="40"/>
      <c r="AA13" s="40"/>
    </row>
    <row r="14" spans="1:27" x14ac:dyDescent="0.25">
      <c r="A14" s="64" t="s">
        <v>73</v>
      </c>
      <c r="B14" s="135">
        <v>1935</v>
      </c>
      <c r="C14" s="136">
        <v>0.03</v>
      </c>
      <c r="D14" s="135">
        <v>60</v>
      </c>
      <c r="E14" s="194">
        <f t="shared" si="7"/>
        <v>0</v>
      </c>
      <c r="F14" s="135">
        <f t="shared" si="0"/>
        <v>0</v>
      </c>
      <c r="G14" s="137">
        <f t="shared" si="1"/>
        <v>0</v>
      </c>
      <c r="H14" s="138">
        <f t="shared" si="2"/>
        <v>0</v>
      </c>
      <c r="I14" s="105">
        <f t="shared" si="8"/>
        <v>0</v>
      </c>
      <c r="J14" s="108">
        <f t="shared" si="3"/>
        <v>0</v>
      </c>
      <c r="K14" s="113">
        <f t="shared" si="4"/>
        <v>0</v>
      </c>
      <c r="L14" s="119">
        <f t="shared" si="9"/>
        <v>0</v>
      </c>
      <c r="M14" s="123">
        <f t="shared" si="10"/>
        <v>0</v>
      </c>
      <c r="N14" s="129">
        <f t="shared" si="11"/>
        <v>0</v>
      </c>
      <c r="O14" s="94">
        <f t="shared" si="5"/>
        <v>0</v>
      </c>
      <c r="P14" s="144">
        <f t="shared" si="6"/>
        <v>3.1E-2</v>
      </c>
      <c r="Q14" s="144"/>
      <c r="R14" s="43"/>
      <c r="S14" s="143"/>
      <c r="T14" s="43"/>
      <c r="U14" s="42"/>
      <c r="V14" s="43"/>
      <c r="W14" s="42"/>
      <c r="X14" s="43"/>
      <c r="Y14" s="42"/>
      <c r="Z14" s="40"/>
      <c r="AA14" s="40"/>
    </row>
    <row r="15" spans="1:27" x14ac:dyDescent="0.25">
      <c r="A15" s="64" t="s">
        <v>74</v>
      </c>
      <c r="B15" s="135">
        <v>1991</v>
      </c>
      <c r="C15" s="136">
        <v>0.03</v>
      </c>
      <c r="D15" s="135">
        <v>50</v>
      </c>
      <c r="E15" s="194">
        <f t="shared" si="7"/>
        <v>40</v>
      </c>
      <c r="F15" s="135">
        <f t="shared" si="0"/>
        <v>23</v>
      </c>
      <c r="G15" s="137">
        <f t="shared" si="1"/>
        <v>1.764705882352941E-3</v>
      </c>
      <c r="H15" s="138">
        <f t="shared" si="2"/>
        <v>1.227430401138486E-2</v>
      </c>
      <c r="I15" s="105">
        <f t="shared" si="8"/>
        <v>539863.45050253486</v>
      </c>
      <c r="J15" s="108">
        <f t="shared" si="3"/>
        <v>23114.637908031662</v>
      </c>
      <c r="K15" s="113">
        <f t="shared" si="4"/>
        <v>516748.81259450322</v>
      </c>
      <c r="L15" s="119">
        <f t="shared" si="9"/>
        <v>-13496.586262563371</v>
      </c>
      <c r="M15" s="123">
        <f t="shared" si="10"/>
        <v>36611.224170595029</v>
      </c>
      <c r="N15" s="129">
        <f t="shared" si="11"/>
        <v>503252.22633193986</v>
      </c>
      <c r="O15" s="94">
        <f t="shared" si="5"/>
        <v>674829.31312816858</v>
      </c>
      <c r="P15" s="144">
        <f t="shared" si="6"/>
        <v>3.1E-2</v>
      </c>
      <c r="Q15" s="144"/>
      <c r="R15" s="43"/>
      <c r="S15" s="143"/>
      <c r="T15" s="43"/>
      <c r="U15" s="42"/>
      <c r="V15" s="43"/>
      <c r="W15" s="42"/>
      <c r="X15" s="43"/>
      <c r="Y15" s="42"/>
      <c r="Z15" s="40"/>
      <c r="AA15" s="40"/>
    </row>
    <row r="16" spans="1:27" x14ac:dyDescent="0.25">
      <c r="A16" s="64" t="s">
        <v>82</v>
      </c>
      <c r="B16" s="135">
        <v>1991</v>
      </c>
      <c r="C16" s="136">
        <v>0.03</v>
      </c>
      <c r="D16" s="135">
        <v>40</v>
      </c>
      <c r="E16" s="194">
        <f t="shared" si="7"/>
        <v>30</v>
      </c>
      <c r="F16" s="135">
        <f t="shared" si="0"/>
        <v>13</v>
      </c>
      <c r="G16" s="137">
        <f t="shared" si="1"/>
        <v>9.9744245524296688E-4</v>
      </c>
      <c r="H16" s="138">
        <f t="shared" si="2"/>
        <v>6.937650093391444E-3</v>
      </c>
      <c r="I16" s="105">
        <f t="shared" si="8"/>
        <v>305140.21115360671</v>
      </c>
      <c r="J16" s="108">
        <f t="shared" si="3"/>
        <v>13064.795339322245</v>
      </c>
      <c r="K16" s="113">
        <f t="shared" si="4"/>
        <v>292075.41581428447</v>
      </c>
      <c r="L16" s="119">
        <f t="shared" si="9"/>
        <v>-10171.34037178689</v>
      </c>
      <c r="M16" s="123">
        <f t="shared" si="10"/>
        <v>23236.135711109135</v>
      </c>
      <c r="N16" s="129">
        <f t="shared" si="11"/>
        <v>281904.07544249756</v>
      </c>
      <c r="O16" s="94">
        <f t="shared" si="5"/>
        <v>406853.61487147561</v>
      </c>
      <c r="P16" s="144">
        <f t="shared" si="6"/>
        <v>3.1E-2</v>
      </c>
      <c r="Q16" s="144"/>
      <c r="R16" s="43"/>
      <c r="S16" s="143"/>
      <c r="T16" s="43"/>
      <c r="U16" s="42"/>
      <c r="V16" s="43"/>
      <c r="W16" s="42"/>
      <c r="X16" s="43"/>
      <c r="Y16" s="42"/>
      <c r="Z16" s="40"/>
      <c r="AA16" s="40"/>
    </row>
    <row r="17" spans="1:27" x14ac:dyDescent="0.25">
      <c r="A17" s="63" t="s">
        <v>4</v>
      </c>
      <c r="B17" s="135">
        <v>1991</v>
      </c>
      <c r="C17" s="192">
        <v>0.06</v>
      </c>
      <c r="D17" s="135">
        <v>40</v>
      </c>
      <c r="E17" s="194">
        <f t="shared" si="7"/>
        <v>30</v>
      </c>
      <c r="F17" s="135">
        <f t="shared" si="0"/>
        <v>13</v>
      </c>
      <c r="G17" s="137">
        <f t="shared" si="1"/>
        <v>1.9948849104859338E-3</v>
      </c>
      <c r="H17" s="138">
        <f t="shared" si="2"/>
        <v>1.3875300186782888E-2</v>
      </c>
      <c r="I17" s="105">
        <f t="shared" si="8"/>
        <v>610280.42230721342</v>
      </c>
      <c r="J17" s="108">
        <f t="shared" si="3"/>
        <v>26129.59067864449</v>
      </c>
      <c r="K17" s="113">
        <f t="shared" si="4"/>
        <v>584150.83162856894</v>
      </c>
      <c r="L17" s="119">
        <f t="shared" si="9"/>
        <v>-20342.680743573779</v>
      </c>
      <c r="M17" s="123">
        <f t="shared" si="10"/>
        <v>46472.271422218269</v>
      </c>
      <c r="N17" s="129">
        <f t="shared" si="11"/>
        <v>563808.15088499512</v>
      </c>
      <c r="O17" s="94">
        <f t="shared" si="5"/>
        <v>813707.22974295123</v>
      </c>
      <c r="P17" s="144">
        <f t="shared" si="6"/>
        <v>6.2E-2</v>
      </c>
      <c r="Q17" s="144">
        <v>0.08</v>
      </c>
      <c r="R17" s="43"/>
      <c r="S17" s="143"/>
      <c r="T17" s="43"/>
      <c r="U17" s="42"/>
      <c r="V17" s="43"/>
      <c r="W17" s="42"/>
      <c r="X17" s="43"/>
      <c r="Y17" s="42"/>
      <c r="Z17" s="40"/>
      <c r="AA17" s="40"/>
    </row>
    <row r="18" spans="1:27" x14ac:dyDescent="0.25">
      <c r="A18" s="63" t="s">
        <v>5</v>
      </c>
      <c r="B18" s="135">
        <v>1991</v>
      </c>
      <c r="C18" s="136">
        <v>0</v>
      </c>
      <c r="D18" s="135">
        <v>25</v>
      </c>
      <c r="E18" s="194">
        <f t="shared" si="7"/>
        <v>15</v>
      </c>
      <c r="F18" s="135">
        <f t="shared" si="0"/>
        <v>0</v>
      </c>
      <c r="G18" s="137">
        <f t="shared" si="1"/>
        <v>0</v>
      </c>
      <c r="H18" s="138">
        <f t="shared" si="2"/>
        <v>0</v>
      </c>
      <c r="I18" s="105">
        <f t="shared" si="8"/>
        <v>0</v>
      </c>
      <c r="J18" s="108">
        <f t="shared" si="3"/>
        <v>0</v>
      </c>
      <c r="K18" s="113">
        <f t="shared" si="4"/>
        <v>0</v>
      </c>
      <c r="L18" s="119">
        <f t="shared" si="9"/>
        <v>0</v>
      </c>
      <c r="M18" s="123">
        <f t="shared" si="10"/>
        <v>0</v>
      </c>
      <c r="N18" s="129">
        <f t="shared" si="11"/>
        <v>0</v>
      </c>
      <c r="O18" s="94">
        <f t="shared" si="5"/>
        <v>0</v>
      </c>
      <c r="P18" s="144">
        <f t="shared" si="6"/>
        <v>0</v>
      </c>
      <c r="Q18" s="144">
        <v>0</v>
      </c>
      <c r="R18" s="43"/>
      <c r="S18" s="143"/>
      <c r="T18" s="43"/>
      <c r="U18" s="42"/>
      <c r="V18" s="43"/>
      <c r="W18" s="42"/>
      <c r="X18" s="43"/>
      <c r="Y18" s="42"/>
      <c r="Z18" s="40"/>
      <c r="AA18" s="40"/>
    </row>
    <row r="19" spans="1:27" x14ac:dyDescent="0.25">
      <c r="A19" s="63" t="s">
        <v>6</v>
      </c>
      <c r="B19" s="135">
        <v>1991</v>
      </c>
      <c r="C19" s="136">
        <v>0.05</v>
      </c>
      <c r="D19" s="135">
        <v>50</v>
      </c>
      <c r="E19" s="194">
        <f t="shared" si="7"/>
        <v>40</v>
      </c>
      <c r="F19" s="135">
        <f t="shared" si="0"/>
        <v>23</v>
      </c>
      <c r="G19" s="137">
        <f t="shared" si="1"/>
        <v>2.9411764705882353E-3</v>
      </c>
      <c r="H19" s="138">
        <f t="shared" si="2"/>
        <v>2.0457173352308101E-2</v>
      </c>
      <c r="I19" s="105">
        <f t="shared" si="8"/>
        <v>899772.41750422481</v>
      </c>
      <c r="J19" s="108">
        <f t="shared" si="3"/>
        <v>38524.396513386106</v>
      </c>
      <c r="K19" s="113">
        <f t="shared" si="4"/>
        <v>861248.02099083876</v>
      </c>
      <c r="L19" s="119">
        <f t="shared" si="9"/>
        <v>-22494.310437605622</v>
      </c>
      <c r="M19" s="123">
        <f t="shared" si="10"/>
        <v>61018.706950991727</v>
      </c>
      <c r="N19" s="129">
        <f t="shared" si="11"/>
        <v>838753.71055323316</v>
      </c>
      <c r="O19" s="94">
        <f t="shared" si="5"/>
        <v>1124715.5218802812</v>
      </c>
      <c r="P19" s="144">
        <f t="shared" si="6"/>
        <v>5.1999999999999998E-2</v>
      </c>
      <c r="Q19" s="144">
        <v>0.05</v>
      </c>
      <c r="R19" s="43"/>
      <c r="S19" s="143"/>
      <c r="T19" s="43"/>
      <c r="U19" s="42"/>
      <c r="V19" s="43"/>
      <c r="W19" s="42"/>
      <c r="X19" s="43"/>
      <c r="Y19" s="42"/>
      <c r="Z19" s="40"/>
      <c r="AA19" s="40"/>
    </row>
    <row r="20" spans="1:27" x14ac:dyDescent="0.25">
      <c r="A20" s="63" t="s">
        <v>7</v>
      </c>
      <c r="B20" s="135">
        <v>1991</v>
      </c>
      <c r="C20" s="136">
        <v>0.03</v>
      </c>
      <c r="D20" s="135">
        <v>50</v>
      </c>
      <c r="E20" s="194">
        <f t="shared" si="7"/>
        <v>40</v>
      </c>
      <c r="F20" s="135">
        <f t="shared" si="0"/>
        <v>23</v>
      </c>
      <c r="G20" s="137">
        <f t="shared" si="1"/>
        <v>1.764705882352941E-3</v>
      </c>
      <c r="H20" s="138">
        <f t="shared" si="2"/>
        <v>1.227430401138486E-2</v>
      </c>
      <c r="I20" s="105">
        <f t="shared" si="8"/>
        <v>539863.45050253486</v>
      </c>
      <c r="J20" s="108">
        <f t="shared" si="3"/>
        <v>23114.637908031662</v>
      </c>
      <c r="K20" s="113">
        <f t="shared" si="4"/>
        <v>516748.81259450322</v>
      </c>
      <c r="L20" s="119">
        <f t="shared" si="9"/>
        <v>-13496.586262563371</v>
      </c>
      <c r="M20" s="123">
        <f t="shared" si="10"/>
        <v>36611.224170595029</v>
      </c>
      <c r="N20" s="129">
        <f t="shared" si="11"/>
        <v>503252.22633193986</v>
      </c>
      <c r="O20" s="94">
        <f t="shared" si="5"/>
        <v>674829.31312816858</v>
      </c>
      <c r="P20" s="144">
        <f t="shared" si="6"/>
        <v>3.1E-2</v>
      </c>
      <c r="Q20" s="144">
        <v>0.03</v>
      </c>
      <c r="R20" s="43"/>
      <c r="S20" s="143"/>
      <c r="T20" s="43"/>
      <c r="U20" s="42"/>
      <c r="V20" s="43"/>
      <c r="W20" s="42"/>
      <c r="X20" s="43"/>
      <c r="Y20" s="42"/>
      <c r="Z20" s="40"/>
      <c r="AA20" s="40"/>
    </row>
    <row r="21" spans="1:27" x14ac:dyDescent="0.25">
      <c r="A21" s="63" t="s">
        <v>8</v>
      </c>
      <c r="B21" s="135">
        <v>1991</v>
      </c>
      <c r="C21" s="136">
        <v>0.03</v>
      </c>
      <c r="D21" s="135">
        <v>30</v>
      </c>
      <c r="E21" s="194">
        <f t="shared" si="7"/>
        <v>20</v>
      </c>
      <c r="F21" s="135">
        <f t="shared" si="0"/>
        <v>3</v>
      </c>
      <c r="G21" s="137">
        <f t="shared" si="1"/>
        <v>2.3017902813299233E-4</v>
      </c>
      <c r="H21" s="138">
        <f t="shared" si="2"/>
        <v>1.6009961753980252E-3</v>
      </c>
      <c r="I21" s="105">
        <f t="shared" si="8"/>
        <v>70416.971804678455</v>
      </c>
      <c r="J21" s="108">
        <f t="shared" si="3"/>
        <v>3014.9527706128256</v>
      </c>
      <c r="K21" s="113">
        <f t="shared" si="4"/>
        <v>67402.019034065626</v>
      </c>
      <c r="L21" s="119">
        <f t="shared" si="9"/>
        <v>-3520.8485902339226</v>
      </c>
      <c r="M21" s="123">
        <f t="shared" si="10"/>
        <v>6535.8013608467481</v>
      </c>
      <c r="N21" s="129">
        <f t="shared" si="11"/>
        <v>63881.170443831703</v>
      </c>
      <c r="O21" s="94">
        <f t="shared" si="5"/>
        <v>105625.45770701767</v>
      </c>
      <c r="P21" s="144">
        <f t="shared" si="6"/>
        <v>3.1E-2</v>
      </c>
      <c r="Q21" s="144">
        <v>0.03</v>
      </c>
      <c r="R21" s="43"/>
      <c r="S21" s="143"/>
      <c r="T21" s="43"/>
      <c r="U21" s="42"/>
      <c r="V21" s="43"/>
      <c r="W21" s="42"/>
      <c r="X21" s="43"/>
      <c r="Y21" s="42"/>
      <c r="Z21" s="40"/>
      <c r="AA21" s="40"/>
    </row>
    <row r="22" spans="1:27" s="14" customFormat="1" x14ac:dyDescent="0.25">
      <c r="A22" s="63" t="s">
        <v>9</v>
      </c>
      <c r="B22" s="135">
        <v>2005</v>
      </c>
      <c r="C22" s="136">
        <v>0.02</v>
      </c>
      <c r="D22" s="135">
        <v>40</v>
      </c>
      <c r="E22" s="194">
        <f t="shared" si="7"/>
        <v>44</v>
      </c>
      <c r="F22" s="135">
        <f t="shared" si="0"/>
        <v>27</v>
      </c>
      <c r="G22" s="137">
        <f t="shared" si="1"/>
        <v>1.3810741687979538E-3</v>
      </c>
      <c r="H22" s="138">
        <f t="shared" si="2"/>
        <v>9.605977052388151E-3</v>
      </c>
      <c r="I22" s="105">
        <f t="shared" si="8"/>
        <v>422501.83082807076</v>
      </c>
      <c r="J22" s="108">
        <f t="shared" si="3"/>
        <v>18089.716623676952</v>
      </c>
      <c r="K22" s="113">
        <f t="shared" si="4"/>
        <v>404412.11420439382</v>
      </c>
      <c r="L22" s="119">
        <f t="shared" si="9"/>
        <v>-9602.3143370016078</v>
      </c>
      <c r="M22" s="123">
        <f t="shared" si="10"/>
        <v>27692.030960678559</v>
      </c>
      <c r="N22" s="129">
        <f t="shared" si="11"/>
        <v>394809.79986739223</v>
      </c>
      <c r="O22" s="94">
        <f t="shared" si="5"/>
        <v>384092.57348006428</v>
      </c>
      <c r="P22" s="144">
        <f t="shared" si="6"/>
        <v>2.1000000000000001E-2</v>
      </c>
      <c r="Q22" s="144">
        <v>0.02</v>
      </c>
      <c r="R22" s="43"/>
      <c r="S22" s="143"/>
      <c r="T22" s="43"/>
      <c r="U22" s="42"/>
      <c r="V22" s="43"/>
      <c r="W22" s="42"/>
      <c r="X22" s="43"/>
      <c r="Y22" s="42"/>
      <c r="Z22" s="40"/>
      <c r="AA22" s="40"/>
    </row>
    <row r="23" spans="1:27" x14ac:dyDescent="0.25">
      <c r="A23" s="66" t="s">
        <v>10</v>
      </c>
      <c r="B23" s="135">
        <v>1991</v>
      </c>
      <c r="C23" s="192">
        <v>5.0000000000000001E-3</v>
      </c>
      <c r="D23" s="135">
        <v>50</v>
      </c>
      <c r="E23" s="194">
        <f t="shared" si="7"/>
        <v>40</v>
      </c>
      <c r="F23" s="135">
        <f t="shared" si="0"/>
        <v>23</v>
      </c>
      <c r="G23" s="137">
        <f t="shared" si="1"/>
        <v>2.9411764705882356E-4</v>
      </c>
      <c r="H23" s="138">
        <f t="shared" si="2"/>
        <v>2.0457173352308104E-3</v>
      </c>
      <c r="I23" s="105">
        <f t="shared" si="8"/>
        <v>89977.241750422487</v>
      </c>
      <c r="J23" s="108">
        <f t="shared" si="3"/>
        <v>3852.4396513386109</v>
      </c>
      <c r="K23" s="113">
        <f t="shared" si="4"/>
        <v>86124.80209908387</v>
      </c>
      <c r="L23" s="119">
        <f t="shared" si="9"/>
        <v>-2249.4310437605623</v>
      </c>
      <c r="M23" s="123">
        <f t="shared" si="10"/>
        <v>6101.8706950991727</v>
      </c>
      <c r="N23" s="129">
        <f t="shared" si="11"/>
        <v>83875.37105532331</v>
      </c>
      <c r="O23" s="94">
        <f t="shared" si="5"/>
        <v>112471.55218802812</v>
      </c>
      <c r="P23" s="144">
        <f t="shared" si="6"/>
        <v>5.0000000000000001E-3</v>
      </c>
      <c r="Q23" s="144">
        <v>0.02</v>
      </c>
      <c r="R23" s="43"/>
      <c r="S23" s="143"/>
      <c r="T23" s="43"/>
      <c r="U23" s="42"/>
      <c r="V23" s="43"/>
      <c r="W23" s="42"/>
      <c r="X23" s="43"/>
      <c r="Y23" s="42"/>
      <c r="Z23" s="40"/>
      <c r="AA23" s="40"/>
    </row>
    <row r="24" spans="1:27" x14ac:dyDescent="0.25">
      <c r="A24" s="63" t="s">
        <v>11</v>
      </c>
      <c r="B24" s="135">
        <v>1991</v>
      </c>
      <c r="C24" s="136">
        <v>0.02</v>
      </c>
      <c r="D24" s="135">
        <v>40</v>
      </c>
      <c r="E24" s="194">
        <f t="shared" si="7"/>
        <v>30</v>
      </c>
      <c r="F24" s="135">
        <f t="shared" si="0"/>
        <v>13</v>
      </c>
      <c r="G24" s="137">
        <f t="shared" si="1"/>
        <v>6.6496163682864455E-4</v>
      </c>
      <c r="H24" s="138">
        <f t="shared" si="2"/>
        <v>4.6251000622609621E-3</v>
      </c>
      <c r="I24" s="105">
        <f t="shared" si="8"/>
        <v>203426.80743573778</v>
      </c>
      <c r="J24" s="108">
        <f t="shared" si="3"/>
        <v>8709.8635595481628</v>
      </c>
      <c r="K24" s="113">
        <f t="shared" si="4"/>
        <v>194716.94387618962</v>
      </c>
      <c r="L24" s="119">
        <f t="shared" si="9"/>
        <v>-6780.8935811912588</v>
      </c>
      <c r="M24" s="123">
        <f t="shared" si="10"/>
        <v>15490.757140739421</v>
      </c>
      <c r="N24" s="129">
        <f t="shared" si="11"/>
        <v>187936.05029499836</v>
      </c>
      <c r="O24" s="94">
        <f t="shared" si="5"/>
        <v>271235.74324765033</v>
      </c>
      <c r="P24" s="144">
        <f t="shared" si="6"/>
        <v>2.1000000000000001E-2</v>
      </c>
      <c r="Q24" s="144">
        <v>0.02</v>
      </c>
      <c r="R24" s="43"/>
      <c r="S24" s="143"/>
      <c r="T24" s="43"/>
      <c r="U24" s="42"/>
      <c r="V24" s="43"/>
      <c r="W24" s="42"/>
      <c r="X24" s="43"/>
      <c r="Y24" s="42"/>
      <c r="Z24" s="40"/>
      <c r="AA24" s="40"/>
    </row>
    <row r="25" spans="1:27" x14ac:dyDescent="0.25">
      <c r="A25" s="63" t="s">
        <v>12</v>
      </c>
      <c r="B25" s="135">
        <v>1991</v>
      </c>
      <c r="C25" s="136">
        <v>0.01</v>
      </c>
      <c r="D25" s="135">
        <v>20</v>
      </c>
      <c r="E25" s="194">
        <f t="shared" si="7"/>
        <v>10</v>
      </c>
      <c r="F25" s="135">
        <f t="shared" si="0"/>
        <v>0</v>
      </c>
      <c r="G25" s="137">
        <f t="shared" si="1"/>
        <v>0</v>
      </c>
      <c r="H25" s="138">
        <f t="shared" si="2"/>
        <v>0</v>
      </c>
      <c r="I25" s="105">
        <f t="shared" si="8"/>
        <v>0</v>
      </c>
      <c r="J25" s="108">
        <f t="shared" si="3"/>
        <v>0</v>
      </c>
      <c r="K25" s="113">
        <f t="shared" si="4"/>
        <v>0</v>
      </c>
      <c r="L25" s="119">
        <f t="shared" si="9"/>
        <v>0</v>
      </c>
      <c r="M25" s="123">
        <f t="shared" si="10"/>
        <v>0</v>
      </c>
      <c r="N25" s="129">
        <f t="shared" si="11"/>
        <v>0</v>
      </c>
      <c r="O25" s="94">
        <f t="shared" si="5"/>
        <v>0</v>
      </c>
      <c r="P25" s="144">
        <f t="shared" si="6"/>
        <v>0.01</v>
      </c>
      <c r="Q25" s="144">
        <v>0.01</v>
      </c>
      <c r="R25" s="43"/>
      <c r="S25" s="143"/>
      <c r="T25" s="43"/>
      <c r="U25" s="42"/>
      <c r="V25" s="43"/>
      <c r="W25" s="42"/>
      <c r="X25" s="43"/>
      <c r="Y25" s="42"/>
      <c r="Z25" s="40"/>
      <c r="AA25" s="40"/>
    </row>
    <row r="26" spans="1:27" x14ac:dyDescent="0.25">
      <c r="A26" s="67" t="s">
        <v>13</v>
      </c>
      <c r="B26" s="139">
        <v>1991</v>
      </c>
      <c r="C26" s="140">
        <v>0.13</v>
      </c>
      <c r="D26" s="139">
        <v>50</v>
      </c>
      <c r="E26" s="194">
        <f t="shared" si="7"/>
        <v>40</v>
      </c>
      <c r="F26" s="139">
        <f t="shared" si="0"/>
        <v>23</v>
      </c>
      <c r="G26" s="141">
        <f t="shared" si="1"/>
        <v>7.6470588235294122E-3</v>
      </c>
      <c r="H26" s="142">
        <f t="shared" si="2"/>
        <v>5.3188650716001068E-2</v>
      </c>
      <c r="I26" s="106">
        <f t="shared" si="8"/>
        <v>2339408.2855109847</v>
      </c>
      <c r="J26" s="109">
        <f t="shared" si="3"/>
        <v>100163.43093480388</v>
      </c>
      <c r="K26" s="114">
        <f t="shared" si="4"/>
        <v>2239244.8545761807</v>
      </c>
      <c r="L26" s="119">
        <f t="shared" si="9"/>
        <v>-58485.207137774618</v>
      </c>
      <c r="M26" s="124">
        <f t="shared" si="10"/>
        <v>158648.6380725785</v>
      </c>
      <c r="N26" s="129">
        <f t="shared" si="11"/>
        <v>2180759.647438406</v>
      </c>
      <c r="O26" s="94">
        <f t="shared" si="5"/>
        <v>2924260.356888731</v>
      </c>
      <c r="P26" s="144">
        <f>1-SUM(P11:P25)</f>
        <v>0.13499999999999968</v>
      </c>
      <c r="Q26" s="144">
        <v>0.13</v>
      </c>
      <c r="R26" s="43"/>
      <c r="S26" s="143"/>
      <c r="T26" s="43"/>
      <c r="U26" s="42"/>
      <c r="V26" s="43"/>
      <c r="W26" s="42"/>
      <c r="X26" s="43"/>
      <c r="Y26" s="42"/>
      <c r="Z26" s="40"/>
      <c r="AA26" s="40"/>
    </row>
    <row r="27" spans="1:27" x14ac:dyDescent="0.25">
      <c r="A27" s="80" t="s">
        <v>83</v>
      </c>
      <c r="B27" s="179" t="s">
        <v>72</v>
      </c>
      <c r="C27" s="180">
        <f>SUM(C11:C26)</f>
        <v>0.9650000000000003</v>
      </c>
      <c r="D27" s="181" t="s">
        <v>72</v>
      </c>
      <c r="E27" s="195">
        <f t="shared" ref="E27:Q27" si="12">SUM(E11:E26)</f>
        <v>637</v>
      </c>
      <c r="F27" s="182">
        <f t="shared" si="12"/>
        <v>391</v>
      </c>
      <c r="G27" s="183">
        <f t="shared" si="12"/>
        <v>0.14377237851662406</v>
      </c>
      <c r="H27" s="180">
        <f t="shared" si="12"/>
        <v>0.99999999999999989</v>
      </c>
      <c r="I27" s="105">
        <f t="shared" si="12"/>
        <v>43983222.999999993</v>
      </c>
      <c r="J27" s="108">
        <f t="shared" si="12"/>
        <v>1883173</v>
      </c>
      <c r="K27" s="115">
        <f t="shared" si="12"/>
        <v>42100050</v>
      </c>
      <c r="L27" s="120">
        <f t="shared" si="12"/>
        <v>-497654.19649785612</v>
      </c>
      <c r="M27" s="125">
        <f t="shared" si="12"/>
        <v>2380827.1964978562</v>
      </c>
      <c r="N27" s="131">
        <f t="shared" si="12"/>
        <v>41602395.803502142</v>
      </c>
      <c r="O27" s="97">
        <f t="shared" si="12"/>
        <v>66942307.606425852</v>
      </c>
      <c r="P27" s="145">
        <f t="shared" si="12"/>
        <v>1</v>
      </c>
      <c r="Q27" s="145">
        <f t="shared" si="12"/>
        <v>1</v>
      </c>
      <c r="R27" s="42"/>
      <c r="S27" s="43"/>
      <c r="T27" s="42"/>
      <c r="U27" s="43"/>
      <c r="V27" s="42"/>
      <c r="W27" s="43"/>
      <c r="X27" s="42"/>
      <c r="Y27" s="43"/>
      <c r="Z27" s="40"/>
      <c r="AA27" s="40"/>
    </row>
    <row r="28" spans="1:27" x14ac:dyDescent="0.25">
      <c r="A28" s="80" t="s">
        <v>84</v>
      </c>
      <c r="B28" s="184">
        <f t="shared" ref="B28:H28" si="13">AVERAGE(B11:B26)</f>
        <v>1981.375</v>
      </c>
      <c r="C28" s="185">
        <f t="shared" si="13"/>
        <v>6.0312500000000019E-2</v>
      </c>
      <c r="D28" s="186">
        <f t="shared" si="13"/>
        <v>59.0625</v>
      </c>
      <c r="E28" s="196">
        <f t="shared" si="13"/>
        <v>39.8125</v>
      </c>
      <c r="F28" s="186">
        <f t="shared" si="13"/>
        <v>24.4375</v>
      </c>
      <c r="G28" s="187">
        <f t="shared" si="13"/>
        <v>8.9857736572890035E-3</v>
      </c>
      <c r="H28" s="185">
        <f t="shared" si="13"/>
        <v>6.2499999999999993E-2</v>
      </c>
      <c r="I28" s="16"/>
      <c r="J28" s="16"/>
      <c r="K28" s="16"/>
      <c r="L28" s="11"/>
      <c r="M28" s="43"/>
      <c r="N28" s="42"/>
      <c r="O28" s="93"/>
      <c r="P28" s="143"/>
      <c r="Q28" s="43"/>
      <c r="R28" s="42"/>
      <c r="S28" s="43"/>
      <c r="T28" s="42"/>
      <c r="U28" s="43"/>
      <c r="V28" s="42"/>
      <c r="W28" s="43"/>
      <c r="X28" s="42"/>
      <c r="Y28" s="43"/>
      <c r="Z28" s="40"/>
      <c r="AA28" s="40"/>
    </row>
    <row r="29" spans="1:27" ht="15.75" x14ac:dyDescent="0.25">
      <c r="A29" s="197" t="s">
        <v>85</v>
      </c>
      <c r="B29" s="198">
        <f>SUMPRODUCT(B11:B26,C11:C26)/SUM(C11:C26)</f>
        <v>1961.1139896373049</v>
      </c>
      <c r="C29" s="199"/>
      <c r="D29" s="198">
        <f>SUMPRODUCT(D11:D26,C11:C26)/SUM(C11:C26)</f>
        <v>114.35233160621759</v>
      </c>
      <c r="E29" s="200">
        <f>SUMPRODUCT(E11:E26,C11:C26)/SUM(C11:C26)</f>
        <v>74.652849740932595</v>
      </c>
      <c r="F29" s="198">
        <f>SUMPRODUCT(F11:F26,C11:C26)/SUM(C11:C26)</f>
        <v>58.25388601036267</v>
      </c>
      <c r="G29" s="189">
        <f>E29-F29</f>
        <v>16.398963730569925</v>
      </c>
      <c r="H29" s="189"/>
      <c r="I29" s="90"/>
      <c r="J29" s="16"/>
      <c r="K29" s="16"/>
      <c r="L29" s="11"/>
      <c r="M29" s="43"/>
      <c r="N29" s="42"/>
      <c r="O29" s="93"/>
      <c r="P29" s="42"/>
      <c r="Q29" s="43"/>
      <c r="R29" s="42"/>
      <c r="S29" s="43"/>
      <c r="T29" s="42"/>
      <c r="U29" s="43"/>
      <c r="V29" s="42"/>
      <c r="W29" s="43"/>
      <c r="X29" s="42"/>
      <c r="Y29" s="43"/>
      <c r="Z29" s="40"/>
      <c r="AA29" s="40"/>
    </row>
    <row r="30" spans="1:27" x14ac:dyDescent="0.25">
      <c r="D30" s="16"/>
      <c r="E30" s="16"/>
      <c r="F30" s="14"/>
      <c r="G30" s="14"/>
      <c r="H30" s="14"/>
      <c r="I30" s="14"/>
    </row>
    <row r="31" spans="1:27" ht="30" x14ac:dyDescent="0.25">
      <c r="A31" s="132" t="s">
        <v>76</v>
      </c>
      <c r="B31" s="91" t="s">
        <v>71</v>
      </c>
      <c r="C31" s="91" t="s">
        <v>77</v>
      </c>
      <c r="D31" s="91" t="s">
        <v>78</v>
      </c>
      <c r="E31" s="104" t="s">
        <v>26</v>
      </c>
      <c r="F31" s="107" t="s">
        <v>27</v>
      </c>
      <c r="G31" s="133" t="s">
        <v>43</v>
      </c>
      <c r="H31" s="118" t="s">
        <v>86</v>
      </c>
      <c r="I31" s="122" t="s">
        <v>46</v>
      </c>
      <c r="J31" s="128" t="s">
        <v>47</v>
      </c>
      <c r="X31"/>
    </row>
    <row r="32" spans="1:27" x14ac:dyDescent="0.25">
      <c r="A32" s="64" t="s">
        <v>48</v>
      </c>
      <c r="B32" s="45">
        <v>42005</v>
      </c>
      <c r="C32" s="44">
        <v>15</v>
      </c>
      <c r="D32" s="46">
        <f t="shared" ref="D32:D38" si="14">IF(C32-ROUND(($B$8-B32)/365,2)&lt;0,0,C32-ROUND(($B$8-B32)/365,2))</f>
        <v>11</v>
      </c>
      <c r="E32" s="102">
        <v>611537</v>
      </c>
      <c r="F32" s="110">
        <v>46877</v>
      </c>
      <c r="G32" s="116">
        <v>554861</v>
      </c>
      <c r="H32" s="121">
        <f t="shared" ref="H32:H38" si="15">E32/C32*-1</f>
        <v>-40769.133333333331</v>
      </c>
      <c r="I32" s="126">
        <f t="shared" ref="I32:I38" si="16">F32-H32</f>
        <v>87646.133333333331</v>
      </c>
      <c r="J32" s="130">
        <f t="shared" ref="J32:J38" si="17">E32-I32</f>
        <v>523890.8666666667</v>
      </c>
      <c r="K32" s="42"/>
      <c r="L32" s="39"/>
      <c r="M32" s="42"/>
      <c r="N32" s="92"/>
      <c r="O32" s="42"/>
      <c r="P32" s="39"/>
      <c r="Q32" s="42"/>
      <c r="R32" s="39"/>
      <c r="S32" s="42"/>
      <c r="T32" s="39"/>
      <c r="U32" s="42"/>
      <c r="X32"/>
    </row>
    <row r="33" spans="1:24" x14ac:dyDescent="0.25">
      <c r="A33" s="64" t="s">
        <v>49</v>
      </c>
      <c r="B33" s="45">
        <v>42005</v>
      </c>
      <c r="C33" s="44">
        <v>10</v>
      </c>
      <c r="D33" s="46">
        <f t="shared" si="14"/>
        <v>6</v>
      </c>
      <c r="E33" s="102">
        <v>504258</v>
      </c>
      <c r="F33" s="110">
        <v>55474</v>
      </c>
      <c r="G33" s="116">
        <v>458583</v>
      </c>
      <c r="H33" s="121">
        <f t="shared" si="15"/>
        <v>-50425.8</v>
      </c>
      <c r="I33" s="126">
        <f t="shared" si="16"/>
        <v>105899.8</v>
      </c>
      <c r="J33" s="130">
        <f t="shared" si="17"/>
        <v>398358.2</v>
      </c>
      <c r="K33" s="42"/>
      <c r="L33" s="39"/>
      <c r="M33" s="42"/>
      <c r="N33" s="92"/>
      <c r="O33" s="42"/>
      <c r="P33" s="39"/>
      <c r="Q33" s="42"/>
      <c r="R33" s="39"/>
      <c r="S33" s="42"/>
      <c r="T33" s="39"/>
      <c r="U33" s="42"/>
      <c r="X33"/>
    </row>
    <row r="34" spans="1:24" x14ac:dyDescent="0.25">
      <c r="A34" s="64" t="s">
        <v>50</v>
      </c>
      <c r="B34" s="45">
        <v>42278</v>
      </c>
      <c r="C34" s="44">
        <v>10</v>
      </c>
      <c r="D34" s="46">
        <f t="shared" si="14"/>
        <v>6.75</v>
      </c>
      <c r="E34" s="102">
        <v>648475</v>
      </c>
      <c r="F34" s="110">
        <v>81192</v>
      </c>
      <c r="G34" s="116">
        <v>502436</v>
      </c>
      <c r="H34" s="121">
        <f t="shared" si="15"/>
        <v>-64847.5</v>
      </c>
      <c r="I34" s="126">
        <f t="shared" si="16"/>
        <v>146039.5</v>
      </c>
      <c r="J34" s="130">
        <f t="shared" si="17"/>
        <v>502435.5</v>
      </c>
      <c r="K34" s="42"/>
      <c r="L34" s="39"/>
      <c r="M34" s="42"/>
      <c r="N34" s="92"/>
      <c r="O34" s="42"/>
      <c r="P34" s="39"/>
      <c r="Q34" s="42"/>
      <c r="R34" s="39"/>
      <c r="S34" s="42"/>
      <c r="T34" s="39"/>
      <c r="U34" s="42"/>
      <c r="X34"/>
    </row>
    <row r="35" spans="1:24" s="14" customFormat="1" x14ac:dyDescent="0.25">
      <c r="A35" s="65" t="s">
        <v>51</v>
      </c>
      <c r="B35" s="60">
        <v>38353</v>
      </c>
      <c r="C35" s="59">
        <v>25</v>
      </c>
      <c r="D35" s="61">
        <f t="shared" si="14"/>
        <v>10.99</v>
      </c>
      <c r="E35" s="102">
        <v>1245359</v>
      </c>
      <c r="F35" s="110">
        <v>398512</v>
      </c>
      <c r="G35" s="116">
        <v>846847</v>
      </c>
      <c r="H35" s="121">
        <f t="shared" si="15"/>
        <v>-49814.36</v>
      </c>
      <c r="I35" s="126">
        <f t="shared" si="16"/>
        <v>448326.36</v>
      </c>
      <c r="J35" s="130">
        <f t="shared" si="17"/>
        <v>797032.64</v>
      </c>
      <c r="K35" s="42"/>
      <c r="L35" s="39"/>
      <c r="M35" s="42"/>
      <c r="N35" s="92"/>
      <c r="O35" s="42"/>
      <c r="P35" s="39"/>
      <c r="Q35" s="42"/>
      <c r="R35" s="39"/>
      <c r="S35" s="42"/>
      <c r="T35" s="39"/>
      <c r="U35" s="42"/>
      <c r="V35" s="40"/>
      <c r="W35" s="40"/>
    </row>
    <row r="36" spans="1:24" x14ac:dyDescent="0.25">
      <c r="A36" s="64" t="s">
        <v>52</v>
      </c>
      <c r="B36" s="45">
        <v>43100</v>
      </c>
      <c r="C36" s="44">
        <v>10</v>
      </c>
      <c r="D36" s="46">
        <f t="shared" si="14"/>
        <v>9</v>
      </c>
      <c r="E36" s="102">
        <v>94708</v>
      </c>
      <c r="F36" s="110">
        <v>17479</v>
      </c>
      <c r="G36" s="116">
        <f>E36+H36*(C36-D36)</f>
        <v>85237.2</v>
      </c>
      <c r="H36" s="121">
        <f t="shared" si="15"/>
        <v>-9470.7999999999993</v>
      </c>
      <c r="I36" s="126">
        <f t="shared" si="16"/>
        <v>26949.8</v>
      </c>
      <c r="J36" s="130">
        <f t="shared" si="17"/>
        <v>67758.2</v>
      </c>
      <c r="K36" s="42"/>
      <c r="L36" s="39"/>
      <c r="M36" s="42"/>
      <c r="N36" s="92"/>
      <c r="O36" s="42"/>
      <c r="P36" s="39"/>
      <c r="Q36" s="42"/>
      <c r="R36" s="39"/>
      <c r="S36" s="42"/>
      <c r="T36" s="39"/>
      <c r="U36" s="42"/>
      <c r="X36"/>
    </row>
    <row r="37" spans="1:24" x14ac:dyDescent="0.25">
      <c r="A37" s="64" t="s">
        <v>73</v>
      </c>
      <c r="B37" s="45">
        <v>43009</v>
      </c>
      <c r="C37" s="44">
        <v>50</v>
      </c>
      <c r="D37" s="46">
        <f t="shared" si="14"/>
        <v>48.75</v>
      </c>
      <c r="E37" s="102">
        <v>2621293</v>
      </c>
      <c r="F37" s="110">
        <v>17475</v>
      </c>
      <c r="G37" s="116">
        <f>E37+H37*(C37-D37)</f>
        <v>2555760.6749999998</v>
      </c>
      <c r="H37" s="121">
        <f t="shared" si="15"/>
        <v>-52425.86</v>
      </c>
      <c r="I37" s="126">
        <f t="shared" si="16"/>
        <v>69900.86</v>
      </c>
      <c r="J37" s="130">
        <f t="shared" si="17"/>
        <v>2551392.14</v>
      </c>
      <c r="K37" s="42"/>
      <c r="L37" s="39"/>
      <c r="M37" s="42"/>
      <c r="N37" s="92"/>
      <c r="O37" s="42"/>
      <c r="P37" s="39"/>
      <c r="Q37" s="42"/>
      <c r="R37" s="39"/>
      <c r="S37" s="42"/>
      <c r="T37" s="39"/>
      <c r="U37" s="42"/>
      <c r="X37"/>
    </row>
    <row r="38" spans="1:24" x14ac:dyDescent="0.25">
      <c r="A38" s="64" t="s">
        <v>54</v>
      </c>
      <c r="B38" s="45">
        <v>43281</v>
      </c>
      <c r="C38" s="44">
        <v>10</v>
      </c>
      <c r="D38" s="46">
        <f t="shared" si="14"/>
        <v>9.5</v>
      </c>
      <c r="E38" s="102">
        <v>154282</v>
      </c>
      <c r="F38" s="110">
        <v>5143</v>
      </c>
      <c r="G38" s="116">
        <f>E38+H38*(C38-D38)</f>
        <v>146567.9</v>
      </c>
      <c r="H38" s="121">
        <f t="shared" si="15"/>
        <v>-15428.2</v>
      </c>
      <c r="I38" s="126">
        <f t="shared" si="16"/>
        <v>20571.2</v>
      </c>
      <c r="J38" s="130">
        <f t="shared" si="17"/>
        <v>133710.79999999999</v>
      </c>
      <c r="K38" s="42"/>
      <c r="L38" s="39"/>
      <c r="M38" s="42"/>
      <c r="N38" s="92"/>
      <c r="O38" s="42"/>
      <c r="P38" s="39"/>
      <c r="Q38" s="42"/>
      <c r="R38" s="39"/>
      <c r="S38" s="42"/>
      <c r="T38" s="39"/>
      <c r="U38" s="42"/>
      <c r="X38"/>
    </row>
    <row r="39" spans="1:24" x14ac:dyDescent="0.25">
      <c r="A39" s="51"/>
      <c r="B39" s="52"/>
      <c r="C39" s="52"/>
      <c r="D39" s="32"/>
      <c r="E39" s="103">
        <f t="shared" ref="E39:J39" si="18">SUM(E32:E38)</f>
        <v>5879912</v>
      </c>
      <c r="F39" s="111">
        <f t="shared" si="18"/>
        <v>622152</v>
      </c>
      <c r="G39" s="117">
        <f t="shared" si="18"/>
        <v>5150292.7750000004</v>
      </c>
      <c r="H39" s="120">
        <f t="shared" si="18"/>
        <v>-283181.65333333332</v>
      </c>
      <c r="I39" s="127">
        <f t="shared" si="18"/>
        <v>905333.65333333332</v>
      </c>
      <c r="J39" s="131">
        <f t="shared" si="18"/>
        <v>4974578.3466666667</v>
      </c>
      <c r="X39"/>
    </row>
    <row r="40" spans="1:24" x14ac:dyDescent="0.25">
      <c r="A40" s="37"/>
      <c r="B40" s="38"/>
      <c r="C40" s="38"/>
      <c r="I40" s="40"/>
      <c r="X40"/>
    </row>
    <row r="41" spans="1:24" x14ac:dyDescent="0.25">
      <c r="A41" s="12"/>
      <c r="B41" s="11"/>
      <c r="C41" s="11"/>
      <c r="I41" s="40"/>
      <c r="X41"/>
    </row>
    <row r="42" spans="1:24" x14ac:dyDescent="0.25">
      <c r="A42" s="54" t="s">
        <v>55</v>
      </c>
      <c r="B42" s="55"/>
      <c r="C42" s="55"/>
      <c r="D42" s="56"/>
      <c r="E42" s="56">
        <f t="shared" ref="E42:J42" si="19">I27+E39</f>
        <v>49863134.999999993</v>
      </c>
      <c r="F42" s="57">
        <f t="shared" si="19"/>
        <v>2505325</v>
      </c>
      <c r="G42" s="57">
        <f t="shared" si="19"/>
        <v>47250342.774999999</v>
      </c>
      <c r="H42" s="57">
        <f t="shared" si="19"/>
        <v>-780835.84983118949</v>
      </c>
      <c r="I42" s="58">
        <f t="shared" si="19"/>
        <v>3286160.8498311895</v>
      </c>
      <c r="J42" s="58">
        <f t="shared" si="19"/>
        <v>46576974.150168806</v>
      </c>
      <c r="X42"/>
    </row>
    <row r="46" spans="1:24" x14ac:dyDescent="0.25">
      <c r="H46" s="40"/>
      <c r="I46" s="40"/>
      <c r="V46"/>
      <c r="W46"/>
      <c r="X46"/>
    </row>
    <row r="47" spans="1:24" x14ac:dyDescent="0.25">
      <c r="A47" t="s">
        <v>57</v>
      </c>
      <c r="H47" s="40"/>
      <c r="I47" s="40"/>
      <c r="V47"/>
      <c r="W47"/>
      <c r="X47"/>
    </row>
    <row r="48" spans="1:24" x14ac:dyDescent="0.25">
      <c r="B48" t="s">
        <v>59</v>
      </c>
      <c r="H48" s="40"/>
      <c r="I48" s="40"/>
      <c r="V48"/>
      <c r="W48"/>
      <c r="X48"/>
    </row>
    <row r="49" spans="2:24" x14ac:dyDescent="0.25">
      <c r="B49" t="s">
        <v>56</v>
      </c>
      <c r="H49" s="40"/>
      <c r="I49" s="40"/>
      <c r="V49"/>
      <c r="W49"/>
      <c r="X49"/>
    </row>
    <row r="50" spans="2:24" x14ac:dyDescent="0.25">
      <c r="H50" s="40"/>
      <c r="I50" s="40"/>
      <c r="V50"/>
      <c r="W50"/>
      <c r="X50"/>
    </row>
    <row r="51" spans="2:24" x14ac:dyDescent="0.25">
      <c r="B51" t="s">
        <v>58</v>
      </c>
      <c r="H51" s="40"/>
      <c r="I51" s="40"/>
      <c r="V51"/>
      <c r="W51"/>
      <c r="X51"/>
    </row>
    <row r="52" spans="2:24" x14ac:dyDescent="0.25">
      <c r="H52" s="40"/>
      <c r="I52" s="40"/>
      <c r="V52"/>
      <c r="W52"/>
      <c r="X52"/>
    </row>
    <row r="53" spans="2:24" x14ac:dyDescent="0.25">
      <c r="H53" s="40"/>
      <c r="I53" s="40"/>
      <c r="V53"/>
      <c r="W53"/>
      <c r="X53"/>
    </row>
    <row r="54" spans="2:24" x14ac:dyDescent="0.25">
      <c r="H54" s="40"/>
      <c r="I54" s="40"/>
      <c r="V54"/>
      <c r="W54"/>
      <c r="X54"/>
    </row>
    <row r="55" spans="2:24" x14ac:dyDescent="0.25">
      <c r="H55" s="40"/>
      <c r="I55" s="40"/>
      <c r="V55"/>
      <c r="W55"/>
      <c r="X55"/>
    </row>
    <row r="56" spans="2:24" x14ac:dyDescent="0.25">
      <c r="H56" s="40"/>
      <c r="I56" s="40"/>
      <c r="V56"/>
      <c r="W56"/>
      <c r="X56"/>
    </row>
    <row r="57" spans="2:24" x14ac:dyDescent="0.25">
      <c r="H57" s="40"/>
      <c r="I57" s="40"/>
      <c r="V57"/>
      <c r="W57"/>
      <c r="X57"/>
    </row>
    <row r="58" spans="2:24" x14ac:dyDescent="0.25">
      <c r="H58" s="40"/>
      <c r="I58" s="40"/>
      <c r="V58"/>
      <c r="W58"/>
      <c r="X58"/>
    </row>
    <row r="59" spans="2:24" x14ac:dyDescent="0.25">
      <c r="H59" s="40"/>
      <c r="I59" s="40"/>
      <c r="V59"/>
      <c r="W59"/>
      <c r="X59"/>
    </row>
    <row r="60" spans="2:24" x14ac:dyDescent="0.25">
      <c r="H60" s="40"/>
      <c r="I60" s="40"/>
      <c r="V60"/>
      <c r="W60"/>
      <c r="X60"/>
    </row>
  </sheetData>
  <mergeCells count="4">
    <mergeCell ref="B5:C5"/>
    <mergeCell ref="B6:C6"/>
    <mergeCell ref="B7:C7"/>
    <mergeCell ref="B8:C8"/>
  </mergeCells>
  <pageMargins left="0.7" right="0.7" top="0.75" bottom="0.75" header="0.3" footer="0.3"/>
  <pageSetup paperSize="9" scale="66" fitToHeight="0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649CCA-EA54-4BA2-AED4-3E90F4AF8D09}">
  <sheetPr>
    <pageSetUpPr fitToPage="1"/>
  </sheetPr>
  <dimension ref="A1:W62"/>
  <sheetViews>
    <sheetView showGridLines="0" zoomScale="90" zoomScaleNormal="90" workbookViewId="0">
      <selection sqref="A1:A4"/>
    </sheetView>
  </sheetViews>
  <sheetFormatPr defaultRowHeight="15" x14ac:dyDescent="0.25"/>
  <cols>
    <col min="1" max="1" width="36.28515625" customWidth="1"/>
    <col min="2" max="2" width="14.28515625" bestFit="1" customWidth="1"/>
    <col min="3" max="3" width="12.28515625" bestFit="1" customWidth="1"/>
    <col min="4" max="4" width="11.28515625" style="3" customWidth="1"/>
    <col min="5" max="5" width="14.7109375" style="3" bestFit="1" customWidth="1"/>
    <col min="6" max="6" width="16.28515625" bestFit="1" customWidth="1"/>
    <col min="7" max="7" width="15" customWidth="1"/>
    <col min="8" max="8" width="13.28515625" bestFit="1" customWidth="1"/>
    <col min="9" max="9" width="15.85546875" style="40" customWidth="1"/>
    <col min="10" max="10" width="15" style="40" customWidth="1"/>
    <col min="11" max="11" width="5" style="40" customWidth="1"/>
    <col min="12" max="12" width="15.140625" style="40" customWidth="1"/>
    <col min="13" max="13" width="15.85546875" style="40" customWidth="1"/>
    <col min="14" max="14" width="11.5703125" style="40" customWidth="1"/>
    <col min="15" max="15" width="13.28515625" style="40" bestFit="1" customWidth="1"/>
    <col min="16" max="16" width="12.42578125" style="40" customWidth="1"/>
    <col min="17" max="17" width="13.28515625" style="40" bestFit="1" customWidth="1"/>
    <col min="18" max="18" width="12.42578125" style="40" customWidth="1"/>
    <col min="19" max="19" width="15.5703125" style="40" customWidth="1"/>
    <col min="20" max="20" width="12.140625" style="40" customWidth="1"/>
    <col min="21" max="21" width="14.28515625" style="40" customWidth="1"/>
    <col min="22" max="23" width="9.140625" style="40"/>
  </cols>
  <sheetData>
    <row r="1" spans="1:21" x14ac:dyDescent="0.25">
      <c r="A1" s="1" t="s">
        <v>44</v>
      </c>
    </row>
    <row r="2" spans="1:21" x14ac:dyDescent="0.25">
      <c r="A2" s="40" t="s">
        <v>95</v>
      </c>
    </row>
    <row r="3" spans="1:21" x14ac:dyDescent="0.25">
      <c r="A3" s="40" t="s">
        <v>99</v>
      </c>
      <c r="D3" s="3" t="s">
        <v>36</v>
      </c>
      <c r="E3" s="3" t="s">
        <v>37</v>
      </c>
      <c r="F3" t="s">
        <v>39</v>
      </c>
      <c r="G3" t="s">
        <v>38</v>
      </c>
    </row>
    <row r="4" spans="1:21" x14ac:dyDescent="0.25">
      <c r="A4" s="40" t="s">
        <v>98</v>
      </c>
      <c r="B4" s="14"/>
      <c r="C4" s="14"/>
      <c r="D4" s="33">
        <v>37188</v>
      </c>
      <c r="E4" s="33">
        <v>43465</v>
      </c>
      <c r="F4" s="2">
        <v>0.01</v>
      </c>
      <c r="G4" s="9">
        <f>(D4-E4)/365</f>
        <v>-17.197260273972603</v>
      </c>
    </row>
    <row r="5" spans="1:21" x14ac:dyDescent="0.25">
      <c r="B5" s="14"/>
      <c r="C5" s="14"/>
      <c r="D5" s="16"/>
      <c r="E5" s="16"/>
    </row>
    <row r="6" spans="1:21" x14ac:dyDescent="0.25">
      <c r="A6" s="7" t="s">
        <v>20</v>
      </c>
      <c r="B6" s="207">
        <v>43983223</v>
      </c>
      <c r="C6" s="208"/>
      <c r="D6" s="16"/>
      <c r="E6" s="16"/>
      <c r="L6" s="95" t="s">
        <v>62</v>
      </c>
    </row>
    <row r="7" spans="1:21" x14ac:dyDescent="0.25">
      <c r="A7" s="7" t="s">
        <v>21</v>
      </c>
      <c r="B7" s="207">
        <v>1883173</v>
      </c>
      <c r="C7" s="208"/>
      <c r="D7" s="16"/>
      <c r="E7" s="16"/>
      <c r="F7" s="8"/>
      <c r="L7" s="95" t="s">
        <v>64</v>
      </c>
    </row>
    <row r="8" spans="1:21" x14ac:dyDescent="0.25">
      <c r="A8" s="7" t="s">
        <v>17</v>
      </c>
      <c r="B8" s="209">
        <f>-ROUND(G4,2)</f>
        <v>17.2</v>
      </c>
      <c r="C8" s="210"/>
      <c r="E8" s="10"/>
      <c r="F8" s="11"/>
      <c r="G8" s="12"/>
      <c r="L8" s="95" t="s">
        <v>63</v>
      </c>
    </row>
    <row r="9" spans="1:21" hidden="1" x14ac:dyDescent="0.25">
      <c r="A9" s="13" t="s">
        <v>23</v>
      </c>
      <c r="B9" s="211">
        <v>0</v>
      </c>
      <c r="C9" s="212"/>
      <c r="E9" s="10"/>
      <c r="F9" s="11"/>
      <c r="G9" s="12"/>
    </row>
    <row r="11" spans="1:21" hidden="1" x14ac:dyDescent="0.25"/>
    <row r="13" spans="1:21" ht="45" x14ac:dyDescent="0.25">
      <c r="A13" s="34" t="s">
        <v>24</v>
      </c>
      <c r="B13" s="68"/>
      <c r="C13" s="68" t="s">
        <v>19</v>
      </c>
      <c r="D13" s="68" t="s">
        <v>18</v>
      </c>
      <c r="E13" s="86" t="s">
        <v>26</v>
      </c>
      <c r="F13" s="86" t="s">
        <v>27</v>
      </c>
      <c r="G13" s="86" t="s">
        <v>43</v>
      </c>
      <c r="H13" s="68" t="s">
        <v>45</v>
      </c>
      <c r="I13" s="87" t="s">
        <v>46</v>
      </c>
      <c r="J13" s="88" t="s">
        <v>47</v>
      </c>
      <c r="K13" s="41"/>
      <c r="L13" s="98" t="s">
        <v>88</v>
      </c>
      <c r="M13" s="98" t="s">
        <v>90</v>
      </c>
      <c r="N13" s="39"/>
      <c r="O13" s="41"/>
      <c r="P13" s="39"/>
      <c r="Q13" s="41"/>
      <c r="R13" s="39"/>
      <c r="S13" s="41"/>
      <c r="T13" s="39"/>
      <c r="U13" s="41"/>
    </row>
    <row r="14" spans="1:21" x14ac:dyDescent="0.25">
      <c r="A14" t="s">
        <v>1</v>
      </c>
      <c r="B14" s="4">
        <v>0.49199999999999999</v>
      </c>
      <c r="C14">
        <v>100</v>
      </c>
      <c r="D14">
        <f t="shared" ref="D14:D27" si="0">IF(C14-$B$8&lt;0,C14+C14-$B$8,C14-$B$8)</f>
        <v>82.8</v>
      </c>
      <c r="E14" s="3">
        <f t="shared" ref="E14:E27" si="1">ROUND(B14*$B$6,0)</f>
        <v>21639746</v>
      </c>
      <c r="F14" s="3">
        <f>ROUND(B14*$B$7,0)</f>
        <v>926521</v>
      </c>
      <c r="G14" s="8">
        <f>E14-F14</f>
        <v>20713225</v>
      </c>
      <c r="H14" s="8">
        <f>E14/C14*-1</f>
        <v>-216397.46</v>
      </c>
      <c r="I14" s="42">
        <f>F14-H14</f>
        <v>1142918.46</v>
      </c>
      <c r="J14" s="43">
        <f>E14-I14</f>
        <v>20496827.539999999</v>
      </c>
      <c r="K14" s="42"/>
      <c r="L14" s="93">
        <f>H14*D14</f>
        <v>-17917709.687999997</v>
      </c>
      <c r="M14" s="94"/>
      <c r="N14" s="43"/>
      <c r="O14" s="42"/>
      <c r="P14" s="43"/>
      <c r="Q14" s="42"/>
      <c r="R14" s="43"/>
      <c r="S14" s="42"/>
      <c r="T14" s="43"/>
      <c r="U14" s="42"/>
    </row>
    <row r="15" spans="1:21" x14ac:dyDescent="0.25">
      <c r="A15" t="s">
        <v>2</v>
      </c>
      <c r="B15" s="4">
        <v>1.2E-2</v>
      </c>
      <c r="C15">
        <v>50</v>
      </c>
      <c r="D15">
        <f t="shared" si="0"/>
        <v>32.799999999999997</v>
      </c>
      <c r="E15" s="3">
        <f t="shared" si="1"/>
        <v>527799</v>
      </c>
      <c r="F15" s="3">
        <f t="shared" ref="F15:F27" si="2">ROUND(B15*$B$7,0)</f>
        <v>22598</v>
      </c>
      <c r="G15" s="8">
        <f t="shared" ref="G15:G27" si="3">E15-F15</f>
        <v>505201</v>
      </c>
      <c r="H15" s="8">
        <f t="shared" ref="H15:H27" si="4">E15/C15*-1</f>
        <v>-10555.98</v>
      </c>
      <c r="I15" s="42">
        <f t="shared" ref="I15:I27" si="5">F15-H15</f>
        <v>33153.979999999996</v>
      </c>
      <c r="J15" s="43">
        <f t="shared" ref="J15:J27" si="6">E15-I15</f>
        <v>494645.02</v>
      </c>
      <c r="K15" s="42"/>
      <c r="L15" s="93">
        <f t="shared" ref="L15:L27" si="7">H15*D15</f>
        <v>-346236.14399999997</v>
      </c>
      <c r="M15" s="94"/>
      <c r="N15" s="43"/>
      <c r="O15" s="42"/>
      <c r="P15" s="43"/>
      <c r="Q15" s="42"/>
      <c r="R15" s="43"/>
      <c r="S15" s="42"/>
      <c r="T15" s="43"/>
      <c r="U15" s="42"/>
    </row>
    <row r="16" spans="1:21" x14ac:dyDescent="0.25">
      <c r="A16" t="s">
        <v>3</v>
      </c>
      <c r="B16" s="4">
        <v>8.0000000000000002E-3</v>
      </c>
      <c r="C16">
        <v>50</v>
      </c>
      <c r="D16">
        <f t="shared" si="0"/>
        <v>32.799999999999997</v>
      </c>
      <c r="E16" s="3">
        <f t="shared" si="1"/>
        <v>351866</v>
      </c>
      <c r="F16" s="3">
        <f t="shared" si="2"/>
        <v>15065</v>
      </c>
      <c r="G16" s="8">
        <f t="shared" si="3"/>
        <v>336801</v>
      </c>
      <c r="H16" s="8">
        <f t="shared" si="4"/>
        <v>-7037.32</v>
      </c>
      <c r="I16" s="42">
        <f t="shared" si="5"/>
        <v>22102.32</v>
      </c>
      <c r="J16" s="43">
        <f t="shared" si="6"/>
        <v>329763.68</v>
      </c>
      <c r="K16" s="42"/>
      <c r="L16" s="93">
        <f t="shared" si="7"/>
        <v>-230824.09599999996</v>
      </c>
      <c r="M16" s="94" t="s">
        <v>61</v>
      </c>
      <c r="N16" s="43"/>
      <c r="O16" s="42"/>
      <c r="P16" s="43"/>
      <c r="Q16" s="42"/>
      <c r="R16" s="43"/>
      <c r="S16" s="42"/>
      <c r="T16" s="43"/>
      <c r="U16" s="42"/>
    </row>
    <row r="17" spans="1:23" x14ac:dyDescent="0.25">
      <c r="A17" t="s">
        <v>4</v>
      </c>
      <c r="B17" s="4">
        <v>0.2</v>
      </c>
      <c r="C17">
        <v>40</v>
      </c>
      <c r="D17">
        <f t="shared" si="0"/>
        <v>22.8</v>
      </c>
      <c r="E17" s="3">
        <f t="shared" si="1"/>
        <v>8796645</v>
      </c>
      <c r="F17" s="3">
        <f t="shared" si="2"/>
        <v>376635</v>
      </c>
      <c r="G17" s="8">
        <f t="shared" si="3"/>
        <v>8420010</v>
      </c>
      <c r="H17" s="8">
        <f t="shared" si="4"/>
        <v>-219916.125</v>
      </c>
      <c r="I17" s="42">
        <f t="shared" si="5"/>
        <v>596551.125</v>
      </c>
      <c r="J17" s="43">
        <f t="shared" si="6"/>
        <v>8200093.875</v>
      </c>
      <c r="K17" s="42"/>
      <c r="L17" s="93">
        <f t="shared" si="7"/>
        <v>-5014087.6500000004</v>
      </c>
      <c r="M17" s="94" t="s">
        <v>60</v>
      </c>
      <c r="N17" s="43"/>
      <c r="O17" s="42"/>
      <c r="P17" s="43"/>
      <c r="Q17" s="42"/>
      <c r="R17" s="43"/>
      <c r="S17" s="42"/>
      <c r="T17" s="43"/>
      <c r="U17" s="42"/>
    </row>
    <row r="18" spans="1:23" x14ac:dyDescent="0.25">
      <c r="A18" t="s">
        <v>5</v>
      </c>
      <c r="B18" s="4">
        <v>0.16500000000000001</v>
      </c>
      <c r="C18">
        <v>15</v>
      </c>
      <c r="D18">
        <f t="shared" si="0"/>
        <v>12.8</v>
      </c>
      <c r="E18" s="3">
        <f t="shared" si="1"/>
        <v>7257232</v>
      </c>
      <c r="F18" s="3">
        <f t="shared" si="2"/>
        <v>310724</v>
      </c>
      <c r="G18" s="8">
        <f t="shared" si="3"/>
        <v>6946508</v>
      </c>
      <c r="H18" s="8">
        <f t="shared" si="4"/>
        <v>-483815.46666666667</v>
      </c>
      <c r="I18" s="42">
        <f t="shared" si="5"/>
        <v>794539.46666666667</v>
      </c>
      <c r="J18" s="43">
        <f t="shared" si="6"/>
        <v>6462692.5333333332</v>
      </c>
      <c r="K18" s="42"/>
      <c r="L18" s="93">
        <f t="shared" si="7"/>
        <v>-6192837.9733333336</v>
      </c>
      <c r="M18" s="94" t="s">
        <v>101</v>
      </c>
      <c r="N18" s="43"/>
      <c r="O18" s="42"/>
      <c r="P18" s="43"/>
      <c r="Q18" s="42"/>
      <c r="R18" s="43"/>
      <c r="S18" s="42"/>
      <c r="T18" s="43"/>
      <c r="U18" s="42"/>
    </row>
    <row r="19" spans="1:23" x14ac:dyDescent="0.25">
      <c r="A19" t="s">
        <v>6</v>
      </c>
      <c r="B19" s="4">
        <v>3.0000000000000001E-3</v>
      </c>
      <c r="C19">
        <v>50</v>
      </c>
      <c r="D19">
        <f>IF(C19-$B$8&lt;0,C19+C19-$B$8,C19-$B$8)</f>
        <v>32.799999999999997</v>
      </c>
      <c r="E19" s="3">
        <f t="shared" si="1"/>
        <v>131950</v>
      </c>
      <c r="F19" s="3">
        <f t="shared" si="2"/>
        <v>5650</v>
      </c>
      <c r="G19" s="8">
        <f t="shared" si="3"/>
        <v>126300</v>
      </c>
      <c r="H19" s="8">
        <f t="shared" si="4"/>
        <v>-2639</v>
      </c>
      <c r="I19" s="42">
        <f t="shared" si="5"/>
        <v>8289</v>
      </c>
      <c r="J19" s="43">
        <f t="shared" si="6"/>
        <v>123661</v>
      </c>
      <c r="K19" s="42"/>
      <c r="L19" s="93">
        <f t="shared" si="7"/>
        <v>-86559.2</v>
      </c>
      <c r="M19" s="94" t="s">
        <v>69</v>
      </c>
      <c r="N19" s="43"/>
      <c r="O19" s="42"/>
      <c r="P19" s="43"/>
      <c r="Q19" s="42"/>
      <c r="R19" s="43"/>
      <c r="S19" s="42"/>
      <c r="T19" s="43"/>
      <c r="U19" s="42"/>
    </row>
    <row r="20" spans="1:23" x14ac:dyDescent="0.25">
      <c r="A20" t="s">
        <v>7</v>
      </c>
      <c r="B20" s="4">
        <v>2E-3</v>
      </c>
      <c r="C20">
        <v>50</v>
      </c>
      <c r="D20">
        <f t="shared" si="0"/>
        <v>32.799999999999997</v>
      </c>
      <c r="E20" s="3">
        <f t="shared" si="1"/>
        <v>87966</v>
      </c>
      <c r="F20" s="3">
        <f t="shared" si="2"/>
        <v>3766</v>
      </c>
      <c r="G20" s="8">
        <f t="shared" si="3"/>
        <v>84200</v>
      </c>
      <c r="H20" s="8">
        <f t="shared" si="4"/>
        <v>-1759.32</v>
      </c>
      <c r="I20" s="42">
        <f t="shared" si="5"/>
        <v>5525.32</v>
      </c>
      <c r="J20" s="43">
        <f t="shared" si="6"/>
        <v>82440.679999999993</v>
      </c>
      <c r="K20" s="42"/>
      <c r="L20" s="93">
        <f t="shared" si="7"/>
        <v>-57705.695999999996</v>
      </c>
      <c r="M20" s="94" t="s">
        <v>65</v>
      </c>
      <c r="N20" s="43"/>
      <c r="O20" s="42"/>
      <c r="P20" s="43"/>
      <c r="Q20" s="42"/>
      <c r="R20" s="43"/>
      <c r="S20" s="42"/>
      <c r="T20" s="43"/>
      <c r="U20" s="42"/>
    </row>
    <row r="21" spans="1:23" hidden="1" x14ac:dyDescent="0.25">
      <c r="A21" s="31" t="s">
        <v>8</v>
      </c>
      <c r="B21" s="4">
        <v>0</v>
      </c>
      <c r="C21">
        <v>30</v>
      </c>
      <c r="D21">
        <f t="shared" si="0"/>
        <v>12.8</v>
      </c>
      <c r="E21" s="3">
        <f t="shared" si="1"/>
        <v>0</v>
      </c>
      <c r="F21" s="3">
        <f t="shared" si="2"/>
        <v>0</v>
      </c>
      <c r="G21" s="8">
        <f t="shared" si="3"/>
        <v>0</v>
      </c>
      <c r="H21" s="8">
        <f t="shared" si="4"/>
        <v>0</v>
      </c>
      <c r="I21" s="42">
        <f t="shared" si="5"/>
        <v>0</v>
      </c>
      <c r="J21" s="43">
        <f t="shared" si="6"/>
        <v>0</v>
      </c>
      <c r="K21" s="42"/>
      <c r="L21" s="93">
        <f t="shared" si="7"/>
        <v>0</v>
      </c>
      <c r="M21" s="94"/>
      <c r="N21" s="43"/>
      <c r="O21" s="42"/>
      <c r="P21" s="43"/>
      <c r="Q21" s="42"/>
      <c r="R21" s="43"/>
      <c r="S21" s="42"/>
      <c r="T21" s="43"/>
      <c r="U21" s="42"/>
    </row>
    <row r="22" spans="1:23" x14ac:dyDescent="0.25">
      <c r="A22" t="s">
        <v>8</v>
      </c>
      <c r="B22" s="4">
        <v>3.5000000000000003E-2</v>
      </c>
      <c r="C22">
        <v>30</v>
      </c>
      <c r="D22">
        <f t="shared" si="0"/>
        <v>12.8</v>
      </c>
      <c r="E22" s="3">
        <f t="shared" si="1"/>
        <v>1539413</v>
      </c>
      <c r="F22" s="3">
        <f t="shared" si="2"/>
        <v>65911</v>
      </c>
      <c r="G22" s="8">
        <f t="shared" si="3"/>
        <v>1473502</v>
      </c>
      <c r="H22" s="8">
        <f t="shared" si="4"/>
        <v>-51313.76666666667</v>
      </c>
      <c r="I22" s="42">
        <f t="shared" si="5"/>
        <v>117224.76666666666</v>
      </c>
      <c r="J22" s="43">
        <f t="shared" si="6"/>
        <v>1422188.2333333334</v>
      </c>
      <c r="K22" s="42"/>
      <c r="L22" s="93">
        <f t="shared" si="7"/>
        <v>-656816.21333333338</v>
      </c>
      <c r="M22" s="94" t="s">
        <v>101</v>
      </c>
      <c r="N22" s="43"/>
      <c r="O22" s="42"/>
      <c r="P22" s="43"/>
      <c r="Q22" s="42"/>
      <c r="R22" s="43"/>
      <c r="S22" s="42"/>
      <c r="T22" s="43"/>
      <c r="U22" s="42"/>
    </row>
    <row r="23" spans="1:23" s="14" customFormat="1" x14ac:dyDescent="0.25">
      <c r="A23" t="s">
        <v>9</v>
      </c>
      <c r="B23" s="4">
        <v>0.05</v>
      </c>
      <c r="C23">
        <v>40</v>
      </c>
      <c r="D23">
        <f t="shared" si="0"/>
        <v>22.8</v>
      </c>
      <c r="E23" s="3">
        <f t="shared" si="1"/>
        <v>2199161</v>
      </c>
      <c r="F23" s="3">
        <f t="shared" si="2"/>
        <v>94159</v>
      </c>
      <c r="G23" s="8">
        <f t="shared" si="3"/>
        <v>2105002</v>
      </c>
      <c r="H23" s="8">
        <f t="shared" si="4"/>
        <v>-54979.025000000001</v>
      </c>
      <c r="I23" s="42">
        <f t="shared" si="5"/>
        <v>149138.02499999999</v>
      </c>
      <c r="J23" s="43">
        <f t="shared" si="6"/>
        <v>2050022.9750000001</v>
      </c>
      <c r="K23" s="42"/>
      <c r="L23" s="93">
        <f t="shared" si="7"/>
        <v>-1253521.77</v>
      </c>
      <c r="M23" s="94" t="s">
        <v>66</v>
      </c>
      <c r="N23" s="43"/>
      <c r="O23" s="42"/>
      <c r="P23" s="43"/>
      <c r="Q23" s="42"/>
      <c r="R23" s="43"/>
      <c r="S23" s="42"/>
      <c r="T23" s="43"/>
      <c r="U23" s="42"/>
      <c r="V23" s="40"/>
      <c r="W23" s="40"/>
    </row>
    <row r="24" spans="1:23" x14ac:dyDescent="0.25">
      <c r="A24" s="14" t="s">
        <v>10</v>
      </c>
      <c r="B24" s="15">
        <v>3.0000000000000001E-3</v>
      </c>
      <c r="C24" s="14">
        <v>25</v>
      </c>
      <c r="D24">
        <f t="shared" si="0"/>
        <v>7.8000000000000007</v>
      </c>
      <c r="E24" s="16">
        <f t="shared" si="1"/>
        <v>131950</v>
      </c>
      <c r="F24" s="3">
        <f t="shared" si="2"/>
        <v>5650</v>
      </c>
      <c r="G24" s="8">
        <f t="shared" si="3"/>
        <v>126300</v>
      </c>
      <c r="H24" s="8">
        <f t="shared" si="4"/>
        <v>-5278</v>
      </c>
      <c r="I24" s="42">
        <f t="shared" si="5"/>
        <v>10928</v>
      </c>
      <c r="J24" s="43">
        <f t="shared" si="6"/>
        <v>121022</v>
      </c>
      <c r="K24" s="42"/>
      <c r="L24" s="93">
        <f t="shared" si="7"/>
        <v>-41168.400000000001</v>
      </c>
      <c r="M24" s="94" t="s">
        <v>70</v>
      </c>
      <c r="N24" s="43"/>
      <c r="O24" s="42"/>
      <c r="P24" s="43"/>
      <c r="Q24" s="42"/>
      <c r="R24" s="43"/>
      <c r="S24" s="42"/>
      <c r="T24" s="43"/>
      <c r="U24" s="42"/>
    </row>
    <row r="25" spans="1:23" x14ac:dyDescent="0.25">
      <c r="A25" t="s">
        <v>11</v>
      </c>
      <c r="B25" s="4">
        <v>3.0000000000000001E-3</v>
      </c>
      <c r="C25">
        <v>25</v>
      </c>
      <c r="D25">
        <f t="shared" si="0"/>
        <v>7.8000000000000007</v>
      </c>
      <c r="E25" s="3">
        <f t="shared" si="1"/>
        <v>131950</v>
      </c>
      <c r="F25" s="3">
        <f t="shared" si="2"/>
        <v>5650</v>
      </c>
      <c r="G25" s="8">
        <f t="shared" si="3"/>
        <v>126300</v>
      </c>
      <c r="H25" s="8">
        <f t="shared" si="4"/>
        <v>-5278</v>
      </c>
      <c r="I25" s="42">
        <f t="shared" si="5"/>
        <v>10928</v>
      </c>
      <c r="J25" s="43">
        <f t="shared" si="6"/>
        <v>121022</v>
      </c>
      <c r="K25" s="42"/>
      <c r="L25" s="93">
        <f t="shared" si="7"/>
        <v>-41168.400000000001</v>
      </c>
      <c r="M25" s="94" t="s">
        <v>67</v>
      </c>
      <c r="N25" s="43"/>
      <c r="O25" s="42"/>
      <c r="P25" s="43"/>
      <c r="Q25" s="42"/>
      <c r="R25" s="43"/>
      <c r="S25" s="42"/>
      <c r="T25" s="43"/>
      <c r="U25" s="42"/>
    </row>
    <row r="26" spans="1:23" x14ac:dyDescent="0.25">
      <c r="A26" t="s">
        <v>12</v>
      </c>
      <c r="B26" s="4">
        <v>2.4E-2</v>
      </c>
      <c r="C26">
        <v>15</v>
      </c>
      <c r="D26">
        <f t="shared" si="0"/>
        <v>12.8</v>
      </c>
      <c r="E26" s="3">
        <f t="shared" si="1"/>
        <v>1055597</v>
      </c>
      <c r="F26" s="3">
        <f t="shared" si="2"/>
        <v>45196</v>
      </c>
      <c r="G26" s="8">
        <f t="shared" si="3"/>
        <v>1010401</v>
      </c>
      <c r="H26" s="8">
        <f t="shared" si="4"/>
        <v>-70373.133333333331</v>
      </c>
      <c r="I26" s="42">
        <f t="shared" si="5"/>
        <v>115569.13333333333</v>
      </c>
      <c r="J26" s="43">
        <f t="shared" si="6"/>
        <v>940027.8666666667</v>
      </c>
      <c r="K26" s="42"/>
      <c r="L26" s="93">
        <f t="shared" si="7"/>
        <v>-900776.10666666669</v>
      </c>
      <c r="M26" s="94" t="s">
        <v>68</v>
      </c>
      <c r="N26" s="43"/>
      <c r="O26" s="42"/>
      <c r="P26" s="43"/>
      <c r="Q26" s="42"/>
      <c r="R26" s="43"/>
      <c r="S26" s="42"/>
      <c r="T26" s="43"/>
      <c r="U26" s="42"/>
    </row>
    <row r="27" spans="1:23" x14ac:dyDescent="0.25">
      <c r="A27" s="17" t="s">
        <v>13</v>
      </c>
      <c r="B27" s="18">
        <v>3.0000000000000001E-3</v>
      </c>
      <c r="C27" s="17">
        <v>50</v>
      </c>
      <c r="D27" s="17">
        <f t="shared" si="0"/>
        <v>32.799999999999997</v>
      </c>
      <c r="E27" s="19">
        <f t="shared" si="1"/>
        <v>131950</v>
      </c>
      <c r="F27" s="19">
        <f t="shared" si="2"/>
        <v>5650</v>
      </c>
      <c r="G27" s="22">
        <f t="shared" si="3"/>
        <v>126300</v>
      </c>
      <c r="H27" s="8">
        <f t="shared" si="4"/>
        <v>-2639</v>
      </c>
      <c r="I27" s="20">
        <f t="shared" si="5"/>
        <v>8289</v>
      </c>
      <c r="J27" s="19">
        <f t="shared" si="6"/>
        <v>123661</v>
      </c>
      <c r="K27" s="42"/>
      <c r="L27" s="93">
        <f t="shared" si="7"/>
        <v>-86559.2</v>
      </c>
      <c r="M27" s="94"/>
      <c r="N27" s="43"/>
      <c r="O27" s="42"/>
      <c r="P27" s="43"/>
      <c r="Q27" s="42"/>
      <c r="R27" s="43"/>
      <c r="S27" s="42"/>
      <c r="T27" s="43"/>
      <c r="U27" s="42"/>
    </row>
    <row r="28" spans="1:23" x14ac:dyDescent="0.25">
      <c r="B28" s="6">
        <f>SUM(B14:B27)</f>
        <v>1</v>
      </c>
      <c r="C28" s="191">
        <f>E28/H28</f>
        <v>-38.855070726871269</v>
      </c>
      <c r="D28" s="190">
        <f>J28/H28</f>
        <v>-36.191461525497886</v>
      </c>
      <c r="E28" s="16">
        <f t="shared" ref="E28:J28" si="8">SUM(E14:E27)</f>
        <v>43983225</v>
      </c>
      <c r="F28" s="16">
        <f t="shared" si="8"/>
        <v>1883175</v>
      </c>
      <c r="G28" s="16">
        <f t="shared" si="8"/>
        <v>42100050</v>
      </c>
      <c r="H28" s="23">
        <f t="shared" si="8"/>
        <v>-1131981.5966666667</v>
      </c>
      <c r="I28" s="43">
        <f t="shared" si="8"/>
        <v>3015156.5966666662</v>
      </c>
      <c r="J28" s="42">
        <f t="shared" si="8"/>
        <v>40968068.403333336</v>
      </c>
      <c r="K28" s="43"/>
      <c r="L28" s="94">
        <f>SUM(L14:L27)</f>
        <v>-32825970.537333328</v>
      </c>
      <c r="M28" s="93"/>
      <c r="N28" s="42"/>
      <c r="O28" s="43"/>
      <c r="P28" s="42"/>
      <c r="Q28" s="43"/>
      <c r="R28" s="42"/>
      <c r="S28" s="43"/>
      <c r="T28" s="42"/>
      <c r="U28" s="43"/>
    </row>
    <row r="29" spans="1:23" x14ac:dyDescent="0.25">
      <c r="D29" s="16"/>
      <c r="E29" s="16"/>
      <c r="F29" s="14"/>
      <c r="G29" s="14"/>
      <c r="H29" s="14"/>
    </row>
    <row r="30" spans="1:23" x14ac:dyDescent="0.25">
      <c r="F30" s="5"/>
    </row>
    <row r="32" spans="1:23" ht="45" hidden="1" x14ac:dyDescent="0.25">
      <c r="A32" s="34" t="s">
        <v>24</v>
      </c>
      <c r="B32" s="35" t="s">
        <v>25</v>
      </c>
      <c r="C32" s="35" t="s">
        <v>19</v>
      </c>
      <c r="D32" s="35" t="s">
        <v>18</v>
      </c>
      <c r="E32" s="36" t="s">
        <v>26</v>
      </c>
      <c r="F32" s="36" t="s">
        <v>27</v>
      </c>
      <c r="G32" s="36" t="s">
        <v>28</v>
      </c>
      <c r="H32" s="35" t="s">
        <v>29</v>
      </c>
      <c r="I32" s="41"/>
      <c r="J32" s="39"/>
      <c r="K32" s="41"/>
      <c r="L32" s="41"/>
      <c r="M32" s="39"/>
      <c r="N32" s="39"/>
      <c r="O32" s="41"/>
      <c r="P32" s="39"/>
      <c r="Q32" s="41"/>
      <c r="R32" s="39"/>
      <c r="S32" s="41"/>
      <c r="T32" s="39"/>
      <c r="U32" s="41"/>
    </row>
    <row r="33" spans="1:23" hidden="1" x14ac:dyDescent="0.25">
      <c r="A33" t="s">
        <v>1</v>
      </c>
      <c r="C33">
        <v>100</v>
      </c>
      <c r="D33">
        <f>IF(C33-ROUND(($E$4-B33)/365,2)&lt;0,0,C33-ROUND(($E$4-B33)/365,2))</f>
        <v>0</v>
      </c>
      <c r="F33" s="8"/>
      <c r="G33" s="8">
        <f>SUM(E33:F33)</f>
        <v>0</v>
      </c>
      <c r="H33" s="8"/>
      <c r="I33" s="41"/>
      <c r="J33" s="39"/>
      <c r="K33" s="41"/>
      <c r="L33" s="41"/>
      <c r="M33" s="39"/>
      <c r="N33" s="39"/>
      <c r="O33" s="41"/>
      <c r="P33" s="39"/>
      <c r="Q33" s="41"/>
      <c r="R33" s="39"/>
      <c r="S33" s="41"/>
      <c r="T33" s="39"/>
      <c r="U33" s="41"/>
    </row>
    <row r="34" spans="1:23" hidden="1" x14ac:dyDescent="0.25">
      <c r="A34" t="s">
        <v>22</v>
      </c>
      <c r="C34">
        <v>50</v>
      </c>
      <c r="D34">
        <f t="shared" ref="D34:D49" si="9">IF(C34-ROUND(($E$4-B34)/365,2)&lt;0,0,C34-ROUND(($E$4-B34)/365,2))</f>
        <v>0</v>
      </c>
      <c r="F34" s="3"/>
      <c r="G34" s="8">
        <f t="shared" ref="G34:G42" si="10">SUM(E34:F34)</f>
        <v>0</v>
      </c>
      <c r="H34" s="8"/>
      <c r="I34" s="41"/>
      <c r="J34" s="39"/>
      <c r="K34" s="41"/>
      <c r="L34" s="41"/>
      <c r="M34" s="39"/>
      <c r="N34" s="39"/>
      <c r="O34" s="41"/>
      <c r="P34" s="39"/>
      <c r="Q34" s="41"/>
      <c r="R34" s="39"/>
      <c r="S34" s="41"/>
      <c r="T34" s="39"/>
      <c r="U34" s="41"/>
    </row>
    <row r="35" spans="1:23" hidden="1" x14ac:dyDescent="0.25">
      <c r="A35" t="s">
        <v>30</v>
      </c>
      <c r="B35" s="21"/>
      <c r="C35">
        <v>50</v>
      </c>
      <c r="D35">
        <f>IF(C35-ROUND(($E$4-B35)/365,2)&lt;0,0,C35-ROUND(($E$4-B35)/365,2))</f>
        <v>0</v>
      </c>
      <c r="F35" s="3"/>
      <c r="G35" s="8">
        <f t="shared" si="10"/>
        <v>0</v>
      </c>
      <c r="H35" s="8"/>
      <c r="I35" s="41"/>
      <c r="J35" s="39"/>
      <c r="K35" s="41"/>
      <c r="L35" s="41"/>
      <c r="M35" s="39"/>
      <c r="N35" s="39"/>
      <c r="O35" s="41"/>
      <c r="P35" s="39"/>
      <c r="Q35" s="41"/>
      <c r="R35" s="39"/>
      <c r="S35" s="41"/>
      <c r="T35" s="39"/>
      <c r="U35" s="41"/>
    </row>
    <row r="36" spans="1:23" hidden="1" x14ac:dyDescent="0.25">
      <c r="A36" t="s">
        <v>31</v>
      </c>
      <c r="B36" s="21"/>
      <c r="C36">
        <v>50</v>
      </c>
      <c r="D36">
        <f>IF(C36-ROUND(($E$4-B36)/365,2)&lt;0,0,C36-ROUND(($E$4-B36)/365,2))</f>
        <v>0</v>
      </c>
      <c r="F36" s="3"/>
      <c r="G36" s="8">
        <f t="shared" si="10"/>
        <v>0</v>
      </c>
      <c r="H36" s="8"/>
      <c r="I36" s="41"/>
      <c r="J36" s="39"/>
      <c r="K36" s="41"/>
      <c r="L36" s="41"/>
      <c r="M36" s="39"/>
      <c r="N36" s="39"/>
      <c r="O36" s="41"/>
      <c r="P36" s="39"/>
      <c r="Q36" s="41"/>
      <c r="R36" s="39"/>
      <c r="S36" s="41"/>
      <c r="T36" s="39"/>
      <c r="U36" s="41"/>
    </row>
    <row r="37" spans="1:23" hidden="1" x14ac:dyDescent="0.25">
      <c r="A37" t="s">
        <v>32</v>
      </c>
      <c r="B37" s="21"/>
      <c r="C37">
        <v>50</v>
      </c>
      <c r="D37">
        <f>IF(C37-ROUND(($E$4-B37)/365,2)&lt;0,0,C37-ROUND(($E$4-B37)/365,2))</f>
        <v>0</v>
      </c>
      <c r="F37" s="3"/>
      <c r="G37" s="8">
        <f t="shared" si="10"/>
        <v>0</v>
      </c>
      <c r="H37" s="8"/>
      <c r="I37" s="41"/>
      <c r="J37" s="39"/>
      <c r="K37" s="41"/>
      <c r="L37" s="41"/>
      <c r="M37" s="39"/>
      <c r="N37" s="39"/>
      <c r="O37" s="41"/>
      <c r="P37" s="39"/>
      <c r="Q37" s="41"/>
      <c r="R37" s="39"/>
      <c r="S37" s="41"/>
      <c r="T37" s="39"/>
      <c r="U37" s="41"/>
    </row>
    <row r="38" spans="1:23" hidden="1" x14ac:dyDescent="0.25">
      <c r="A38" t="s">
        <v>33</v>
      </c>
      <c r="B38" s="21"/>
      <c r="C38">
        <v>50</v>
      </c>
      <c r="D38">
        <f>IF(C38-ROUND(($E$4-B38)/365,2)&lt;0,0,C38-ROUND(($E$4-B38)/365,2))</f>
        <v>0</v>
      </c>
      <c r="F38" s="3"/>
      <c r="G38" s="8">
        <f t="shared" si="10"/>
        <v>0</v>
      </c>
      <c r="H38" s="8"/>
      <c r="I38" s="41"/>
      <c r="J38" s="39"/>
      <c r="K38" s="41"/>
      <c r="L38" s="41"/>
      <c r="M38" s="39"/>
      <c r="N38" s="39"/>
      <c r="O38" s="41"/>
      <c r="P38" s="39"/>
      <c r="Q38" s="41"/>
      <c r="R38" s="39"/>
      <c r="S38" s="41"/>
      <c r="T38" s="39"/>
      <c r="U38" s="41"/>
    </row>
    <row r="39" spans="1:23" hidden="1" x14ac:dyDescent="0.25">
      <c r="A39" t="s">
        <v>3</v>
      </c>
      <c r="C39">
        <v>50</v>
      </c>
      <c r="D39">
        <f t="shared" si="9"/>
        <v>0</v>
      </c>
      <c r="F39" s="3"/>
      <c r="G39" s="8">
        <f t="shared" si="10"/>
        <v>0</v>
      </c>
      <c r="H39" s="8"/>
      <c r="I39" s="41"/>
      <c r="J39" s="39"/>
      <c r="K39" s="41"/>
      <c r="L39" s="41"/>
      <c r="M39" s="39"/>
      <c r="N39" s="39"/>
      <c r="O39" s="41"/>
      <c r="P39" s="39"/>
      <c r="Q39" s="41"/>
      <c r="R39" s="39"/>
      <c r="S39" s="41"/>
      <c r="T39" s="39"/>
      <c r="U39" s="41"/>
    </row>
    <row r="40" spans="1:23" hidden="1" x14ac:dyDescent="0.25">
      <c r="A40" t="s">
        <v>34</v>
      </c>
      <c r="B40" s="21"/>
      <c r="C40">
        <v>50</v>
      </c>
      <c r="D40">
        <f t="shared" si="9"/>
        <v>0</v>
      </c>
      <c r="F40" s="3"/>
      <c r="G40" s="8">
        <f t="shared" si="10"/>
        <v>0</v>
      </c>
      <c r="H40" s="8"/>
      <c r="I40" s="41"/>
      <c r="J40" s="39"/>
      <c r="K40" s="41"/>
      <c r="L40" s="41"/>
      <c r="M40" s="39"/>
      <c r="N40" s="39"/>
      <c r="O40" s="41"/>
      <c r="P40" s="39"/>
      <c r="Q40" s="41"/>
      <c r="R40" s="39"/>
      <c r="S40" s="41"/>
      <c r="T40" s="39"/>
      <c r="U40" s="41"/>
    </row>
    <row r="41" spans="1:23" hidden="1" x14ac:dyDescent="0.25">
      <c r="A41" t="s">
        <v>35</v>
      </c>
      <c r="B41" s="21"/>
      <c r="C41">
        <v>30</v>
      </c>
      <c r="D41">
        <f>IF(C41-ROUND(($E$4-B41)/365,2)&lt;0,0,C41-ROUND(($E$4-B41)/365,2))</f>
        <v>0</v>
      </c>
      <c r="F41" s="3"/>
      <c r="G41" s="8">
        <f t="shared" si="10"/>
        <v>0</v>
      </c>
      <c r="H41" s="8"/>
      <c r="I41" s="41"/>
      <c r="J41" s="39"/>
      <c r="K41" s="41"/>
      <c r="L41" s="41"/>
      <c r="M41" s="39"/>
      <c r="N41" s="39"/>
      <c r="O41" s="41"/>
      <c r="P41" s="39"/>
      <c r="Q41" s="41"/>
      <c r="R41" s="39"/>
      <c r="S41" s="41"/>
      <c r="T41" s="39"/>
      <c r="U41" s="41"/>
    </row>
    <row r="42" spans="1:23" hidden="1" x14ac:dyDescent="0.25">
      <c r="A42" t="s">
        <v>4</v>
      </c>
      <c r="C42">
        <v>40</v>
      </c>
      <c r="D42">
        <f t="shared" si="9"/>
        <v>0</v>
      </c>
      <c r="F42" s="3"/>
      <c r="G42" s="8">
        <f t="shared" si="10"/>
        <v>0</v>
      </c>
      <c r="H42" s="8"/>
      <c r="I42" s="41"/>
      <c r="J42" s="39"/>
      <c r="K42" s="41"/>
      <c r="L42" s="41"/>
      <c r="M42" s="39"/>
      <c r="N42" s="39"/>
      <c r="O42" s="41"/>
      <c r="P42" s="39"/>
      <c r="Q42" s="41"/>
      <c r="R42" s="39"/>
      <c r="S42" s="41"/>
      <c r="T42" s="39"/>
      <c r="U42" s="41"/>
    </row>
    <row r="43" spans="1:23" x14ac:dyDescent="0.25">
      <c r="A43" s="44" t="s">
        <v>48</v>
      </c>
      <c r="B43" s="45">
        <v>42005</v>
      </c>
      <c r="C43" s="44">
        <v>15</v>
      </c>
      <c r="D43" s="46">
        <f t="shared" si="9"/>
        <v>11</v>
      </c>
      <c r="E43" s="47">
        <v>611537</v>
      </c>
      <c r="F43" s="50">
        <v>46877</v>
      </c>
      <c r="G43" s="62">
        <v>554861</v>
      </c>
      <c r="H43" s="62">
        <f>E43/C43*-1</f>
        <v>-40769.133333333331</v>
      </c>
      <c r="I43" s="49">
        <f>F43-H43</f>
        <v>87646.133333333331</v>
      </c>
      <c r="J43" s="39">
        <f>E43-I43</f>
        <v>523890.8666666667</v>
      </c>
      <c r="K43" s="42"/>
      <c r="L43" s="42"/>
      <c r="M43" s="39"/>
      <c r="N43" s="39"/>
      <c r="O43" s="42"/>
      <c r="P43" s="39"/>
      <c r="Q43" s="42"/>
      <c r="R43" s="39"/>
      <c r="S43" s="42"/>
      <c r="T43" s="39"/>
      <c r="U43" s="42"/>
    </row>
    <row r="44" spans="1:23" x14ac:dyDescent="0.25">
      <c r="A44" s="44" t="s">
        <v>49</v>
      </c>
      <c r="B44" s="45">
        <v>42005</v>
      </c>
      <c r="C44" s="44">
        <v>10</v>
      </c>
      <c r="D44" s="46">
        <f t="shared" si="9"/>
        <v>6</v>
      </c>
      <c r="E44" s="47">
        <v>504258</v>
      </c>
      <c r="F44" s="50">
        <v>55474</v>
      </c>
      <c r="G44" s="62">
        <v>458583</v>
      </c>
      <c r="H44" s="62">
        <f t="shared" ref="H44:H49" si="11">E44/C44*-1</f>
        <v>-50425.8</v>
      </c>
      <c r="I44" s="49">
        <f t="shared" ref="I44:I49" si="12">F44-H44</f>
        <v>105899.8</v>
      </c>
      <c r="J44" s="39">
        <f t="shared" ref="J44:J49" si="13">E44-I44</f>
        <v>398358.2</v>
      </c>
      <c r="K44" s="42"/>
      <c r="L44" s="42"/>
      <c r="M44" s="39"/>
      <c r="N44" s="39"/>
      <c r="O44" s="42"/>
      <c r="P44" s="39"/>
      <c r="Q44" s="42"/>
      <c r="R44" s="39"/>
      <c r="S44" s="42"/>
      <c r="T44" s="39"/>
      <c r="U44" s="42"/>
    </row>
    <row r="45" spans="1:23" x14ac:dyDescent="0.25">
      <c r="A45" s="44" t="s">
        <v>50</v>
      </c>
      <c r="B45" s="45">
        <v>42278</v>
      </c>
      <c r="C45" s="44">
        <v>10</v>
      </c>
      <c r="D45" s="46">
        <f t="shared" si="9"/>
        <v>6.75</v>
      </c>
      <c r="E45" s="47">
        <v>648475</v>
      </c>
      <c r="F45" s="50">
        <v>81192</v>
      </c>
      <c r="G45" s="62">
        <v>502436</v>
      </c>
      <c r="H45" s="62">
        <f t="shared" si="11"/>
        <v>-64847.5</v>
      </c>
      <c r="I45" s="49">
        <f t="shared" si="12"/>
        <v>146039.5</v>
      </c>
      <c r="J45" s="39">
        <f t="shared" si="13"/>
        <v>502435.5</v>
      </c>
      <c r="K45" s="42"/>
      <c r="L45" s="42"/>
      <c r="M45" s="39"/>
      <c r="N45" s="39"/>
      <c r="O45" s="42"/>
      <c r="P45" s="39"/>
      <c r="Q45" s="42"/>
      <c r="R45" s="39"/>
      <c r="S45" s="42"/>
      <c r="T45" s="39"/>
      <c r="U45" s="42"/>
    </row>
    <row r="46" spans="1:23" s="14" customFormat="1" x14ac:dyDescent="0.25">
      <c r="A46" s="59" t="s">
        <v>51</v>
      </c>
      <c r="B46" s="60">
        <v>38353</v>
      </c>
      <c r="C46" s="59">
        <v>25</v>
      </c>
      <c r="D46" s="61">
        <f t="shared" si="9"/>
        <v>10.99</v>
      </c>
      <c r="E46" s="50">
        <v>1245359</v>
      </c>
      <c r="F46" s="50">
        <v>398512</v>
      </c>
      <c r="G46" s="62">
        <v>846847</v>
      </c>
      <c r="H46" s="62">
        <f t="shared" si="11"/>
        <v>-49814.36</v>
      </c>
      <c r="I46" s="49">
        <f t="shared" si="12"/>
        <v>448326.36</v>
      </c>
      <c r="J46" s="39">
        <f t="shared" si="13"/>
        <v>797032.64</v>
      </c>
      <c r="K46" s="42"/>
      <c r="L46" s="42"/>
      <c r="M46" s="39"/>
      <c r="N46" s="39"/>
      <c r="O46" s="42"/>
      <c r="P46" s="39"/>
      <c r="Q46" s="42"/>
      <c r="R46" s="39"/>
      <c r="S46" s="42"/>
      <c r="T46" s="39"/>
      <c r="U46" s="42"/>
      <c r="V46" s="40"/>
      <c r="W46" s="40"/>
    </row>
    <row r="47" spans="1:23" x14ac:dyDescent="0.25">
      <c r="A47" s="44" t="s">
        <v>52</v>
      </c>
      <c r="B47" s="45">
        <v>43100</v>
      </c>
      <c r="C47" s="44">
        <v>10</v>
      </c>
      <c r="D47" s="46">
        <f t="shared" si="9"/>
        <v>9</v>
      </c>
      <c r="E47" s="50">
        <v>94708</v>
      </c>
      <c r="F47" s="47">
        <v>17479</v>
      </c>
      <c r="G47" s="48">
        <f t="shared" ref="G47:G49" si="14">E47+H47*(C47-D47)</f>
        <v>85237.2</v>
      </c>
      <c r="H47" s="48">
        <f t="shared" si="11"/>
        <v>-9470.7999999999993</v>
      </c>
      <c r="I47" s="49">
        <f t="shared" si="12"/>
        <v>26949.8</v>
      </c>
      <c r="J47" s="39">
        <f t="shared" si="13"/>
        <v>67758.2</v>
      </c>
      <c r="K47" s="42"/>
      <c r="L47" s="42"/>
      <c r="M47" s="39"/>
      <c r="N47" s="39"/>
      <c r="O47" s="42"/>
      <c r="P47" s="39"/>
      <c r="Q47" s="42"/>
      <c r="R47" s="39"/>
      <c r="S47" s="42"/>
      <c r="T47" s="39"/>
      <c r="U47" s="42"/>
    </row>
    <row r="48" spans="1:23" x14ac:dyDescent="0.25">
      <c r="A48" s="44" t="s">
        <v>53</v>
      </c>
      <c r="B48" s="45">
        <v>43009</v>
      </c>
      <c r="C48" s="44">
        <v>50</v>
      </c>
      <c r="D48" s="46">
        <f t="shared" si="9"/>
        <v>48.75</v>
      </c>
      <c r="E48" s="50">
        <v>2621293</v>
      </c>
      <c r="F48" s="47">
        <v>17475</v>
      </c>
      <c r="G48" s="48">
        <f t="shared" si="14"/>
        <v>2555760.6749999998</v>
      </c>
      <c r="H48" s="48">
        <f t="shared" si="11"/>
        <v>-52425.86</v>
      </c>
      <c r="I48" s="49">
        <f t="shared" si="12"/>
        <v>69900.86</v>
      </c>
      <c r="J48" s="39">
        <f t="shared" si="13"/>
        <v>2551392.14</v>
      </c>
      <c r="K48" s="42"/>
      <c r="L48" s="42"/>
      <c r="M48" s="39"/>
      <c r="N48" s="39"/>
      <c r="O48" s="42"/>
      <c r="P48" s="39"/>
      <c r="Q48" s="42"/>
      <c r="R48" s="39"/>
      <c r="S48" s="42"/>
      <c r="T48" s="39"/>
      <c r="U48" s="42"/>
    </row>
    <row r="49" spans="1:21" x14ac:dyDescent="0.25">
      <c r="A49" s="44" t="s">
        <v>54</v>
      </c>
      <c r="B49" s="45">
        <v>43281</v>
      </c>
      <c r="C49" s="44">
        <v>10</v>
      </c>
      <c r="D49" s="46">
        <f t="shared" si="9"/>
        <v>9.5</v>
      </c>
      <c r="E49" s="50">
        <v>154282</v>
      </c>
      <c r="F49" s="47">
        <v>5143</v>
      </c>
      <c r="G49" s="48">
        <f t="shared" si="14"/>
        <v>146567.9</v>
      </c>
      <c r="H49" s="48">
        <f t="shared" si="11"/>
        <v>-15428.2</v>
      </c>
      <c r="I49" s="49">
        <f t="shared" si="12"/>
        <v>20571.2</v>
      </c>
      <c r="J49" s="39">
        <f t="shared" si="13"/>
        <v>133710.79999999999</v>
      </c>
      <c r="K49" s="42"/>
      <c r="L49" s="42"/>
      <c r="M49" s="39"/>
      <c r="N49" s="39"/>
      <c r="O49" s="42"/>
      <c r="P49" s="39"/>
      <c r="Q49" s="42"/>
      <c r="R49" s="39"/>
      <c r="S49" s="42"/>
      <c r="T49" s="39"/>
      <c r="U49" s="42"/>
    </row>
    <row r="50" spans="1:21" x14ac:dyDescent="0.25">
      <c r="A50" s="51"/>
      <c r="B50" s="52"/>
      <c r="C50" s="52"/>
      <c r="D50" s="32"/>
      <c r="E50" s="32">
        <f t="shared" ref="E50:J50" si="15">SUM(E43:E49)</f>
        <v>5879912</v>
      </c>
      <c r="F50" s="23">
        <f t="shared" si="15"/>
        <v>622152</v>
      </c>
      <c r="G50" s="23">
        <f t="shared" si="15"/>
        <v>5150292.7750000004</v>
      </c>
      <c r="H50" s="23">
        <f t="shared" si="15"/>
        <v>-283181.65333333332</v>
      </c>
      <c r="I50" s="53">
        <f t="shared" si="15"/>
        <v>905333.65333333332</v>
      </c>
      <c r="J50" s="53">
        <f t="shared" si="15"/>
        <v>4974578.3466666667</v>
      </c>
    </row>
    <row r="51" spans="1:21" x14ac:dyDescent="0.25">
      <c r="A51" s="37"/>
      <c r="B51" s="38"/>
      <c r="C51" s="38"/>
    </row>
    <row r="52" spans="1:21" x14ac:dyDescent="0.25">
      <c r="A52" s="12"/>
      <c r="B52" s="11"/>
      <c r="C52" s="11"/>
    </row>
    <row r="53" spans="1:21" x14ac:dyDescent="0.25">
      <c r="A53" s="54" t="s">
        <v>55</v>
      </c>
      <c r="B53" s="55"/>
      <c r="C53" s="55"/>
      <c r="D53" s="56"/>
      <c r="E53" s="56">
        <f t="shared" ref="E53:J53" si="16">E28+E50</f>
        <v>49863137</v>
      </c>
      <c r="F53" s="57">
        <f t="shared" si="16"/>
        <v>2505327</v>
      </c>
      <c r="G53" s="57">
        <f t="shared" si="16"/>
        <v>47250342.774999999</v>
      </c>
      <c r="H53" s="57">
        <f t="shared" si="16"/>
        <v>-1415163.25</v>
      </c>
      <c r="I53" s="58">
        <f t="shared" si="16"/>
        <v>3920490.2499999995</v>
      </c>
      <c r="J53" s="58">
        <f t="shared" si="16"/>
        <v>45942646.75</v>
      </c>
    </row>
    <row r="58" spans="1:21" x14ac:dyDescent="0.25">
      <c r="A58" t="s">
        <v>57</v>
      </c>
    </row>
    <row r="59" spans="1:21" x14ac:dyDescent="0.25">
      <c r="B59" t="s">
        <v>59</v>
      </c>
    </row>
    <row r="60" spans="1:21" x14ac:dyDescent="0.25">
      <c r="B60" t="s">
        <v>56</v>
      </c>
    </row>
    <row r="62" spans="1:21" x14ac:dyDescent="0.25">
      <c r="B62" t="s">
        <v>58</v>
      </c>
    </row>
  </sheetData>
  <mergeCells count="4">
    <mergeCell ref="B6:C6"/>
    <mergeCell ref="B7:C7"/>
    <mergeCell ref="B8:C8"/>
    <mergeCell ref="B9:C9"/>
  </mergeCells>
  <pageMargins left="0.7" right="0.7" top="0.75" bottom="0.75" header="0.3" footer="0.3"/>
  <pageSetup paperSize="9" scale="66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2BF704-4DE6-46F0-813C-67173C123327}">
  <sheetPr>
    <pageSetUpPr fitToPage="1"/>
  </sheetPr>
  <dimension ref="A1:W62"/>
  <sheetViews>
    <sheetView showGridLines="0" workbookViewId="0">
      <selection activeCell="F58" sqref="F58"/>
    </sheetView>
  </sheetViews>
  <sheetFormatPr defaultRowHeight="15" x14ac:dyDescent="0.25"/>
  <cols>
    <col min="1" max="1" width="36.28515625" customWidth="1"/>
    <col min="2" max="2" width="14.28515625" bestFit="1" customWidth="1"/>
    <col min="3" max="3" width="12.28515625" bestFit="1" customWidth="1"/>
    <col min="4" max="4" width="11.28515625" style="3" customWidth="1"/>
    <col min="5" max="5" width="14.7109375" style="3" bestFit="1" customWidth="1"/>
    <col min="6" max="6" width="16.28515625" bestFit="1" customWidth="1"/>
    <col min="7" max="8" width="13.28515625" bestFit="1" customWidth="1"/>
    <col min="9" max="9" width="15.85546875" style="40" customWidth="1"/>
    <col min="10" max="10" width="15" style="40" customWidth="1"/>
    <col min="11" max="11" width="3" style="40" customWidth="1"/>
    <col min="12" max="12" width="14.85546875" style="40" customWidth="1"/>
    <col min="13" max="13" width="15.140625" style="40" customWidth="1"/>
    <col min="14" max="14" width="11.5703125" style="40" customWidth="1"/>
    <col min="15" max="15" width="13.28515625" style="40" bestFit="1" customWidth="1"/>
    <col min="16" max="16" width="12.42578125" style="40" customWidth="1"/>
    <col min="17" max="17" width="13.28515625" style="40" bestFit="1" customWidth="1"/>
    <col min="18" max="18" width="12.42578125" style="40" customWidth="1"/>
    <col min="19" max="19" width="15.5703125" style="40" customWidth="1"/>
    <col min="20" max="20" width="12.140625" style="40" customWidth="1"/>
    <col min="21" max="21" width="14.28515625" style="40" customWidth="1"/>
    <col min="22" max="23" width="9.140625" style="40"/>
  </cols>
  <sheetData>
    <row r="1" spans="1:21" x14ac:dyDescent="0.25">
      <c r="A1" t="s">
        <v>44</v>
      </c>
    </row>
    <row r="2" spans="1:21" s="40" customFormat="1" x14ac:dyDescent="0.25">
      <c r="A2" s="40" t="s">
        <v>95</v>
      </c>
      <c r="B2"/>
      <c r="C2"/>
      <c r="D2" s="3" t="s">
        <v>36</v>
      </c>
      <c r="E2" s="3" t="s">
        <v>37</v>
      </c>
      <c r="F2" t="s">
        <v>39</v>
      </c>
      <c r="G2" t="s">
        <v>38</v>
      </c>
      <c r="H2"/>
    </row>
    <row r="3" spans="1:21" s="40" customFormat="1" x14ac:dyDescent="0.25">
      <c r="A3" s="40" t="s">
        <v>100</v>
      </c>
      <c r="B3" s="14"/>
      <c r="C3" s="14"/>
      <c r="D3" s="33">
        <v>37188</v>
      </c>
      <c r="E3" s="33">
        <v>43465</v>
      </c>
      <c r="F3" s="2">
        <v>0.01</v>
      </c>
      <c r="G3" s="9">
        <f>(D3-E3)/365</f>
        <v>-17.197260273972603</v>
      </c>
      <c r="H3"/>
    </row>
    <row r="4" spans="1:21" s="40" customFormat="1" x14ac:dyDescent="0.25">
      <c r="A4" s="40" t="s">
        <v>97</v>
      </c>
      <c r="B4" s="14"/>
      <c r="C4" s="14"/>
      <c r="D4" s="147"/>
      <c r="E4" s="147"/>
      <c r="F4" s="2"/>
      <c r="G4" s="9"/>
      <c r="H4"/>
    </row>
    <row r="5" spans="1:21" s="40" customFormat="1" x14ac:dyDescent="0.25">
      <c r="A5"/>
      <c r="B5" s="14"/>
      <c r="C5" s="14"/>
      <c r="D5" s="16"/>
      <c r="E5" s="16"/>
      <c r="F5"/>
      <c r="G5"/>
      <c r="H5"/>
    </row>
    <row r="6" spans="1:21" s="40" customFormat="1" x14ac:dyDescent="0.25">
      <c r="A6" s="7" t="s">
        <v>20</v>
      </c>
      <c r="B6" s="207">
        <v>43983223</v>
      </c>
      <c r="C6" s="208"/>
      <c r="D6" s="16"/>
      <c r="E6" s="16"/>
      <c r="F6"/>
      <c r="G6"/>
      <c r="H6"/>
      <c r="L6" s="95"/>
      <c r="M6" s="95" t="s">
        <v>62</v>
      </c>
    </row>
    <row r="7" spans="1:21" s="40" customFormat="1" x14ac:dyDescent="0.25">
      <c r="A7" s="7" t="s">
        <v>21</v>
      </c>
      <c r="B7" s="207">
        <v>1883173</v>
      </c>
      <c r="C7" s="208"/>
      <c r="D7" s="16"/>
      <c r="E7" s="16"/>
      <c r="F7" s="8"/>
      <c r="G7"/>
      <c r="H7"/>
      <c r="L7" s="95"/>
      <c r="M7" s="95" t="s">
        <v>64</v>
      </c>
    </row>
    <row r="8" spans="1:21" s="40" customFormat="1" x14ac:dyDescent="0.25">
      <c r="A8" s="7" t="s">
        <v>17</v>
      </c>
      <c r="B8" s="209">
        <f>-ROUND(G3,2)</f>
        <v>17.2</v>
      </c>
      <c r="C8" s="210"/>
      <c r="D8" s="3"/>
      <c r="E8" s="10"/>
      <c r="F8" s="11"/>
      <c r="G8" s="12"/>
      <c r="H8"/>
      <c r="L8" s="95"/>
      <c r="M8" s="95" t="s">
        <v>63</v>
      </c>
    </row>
    <row r="9" spans="1:21" s="40" customFormat="1" hidden="1" x14ac:dyDescent="0.25">
      <c r="A9" s="13" t="s">
        <v>23</v>
      </c>
      <c r="B9" s="211">
        <v>0</v>
      </c>
      <c r="C9" s="212"/>
      <c r="D9" s="3"/>
      <c r="E9" s="10"/>
      <c r="F9" s="11"/>
      <c r="G9" s="12"/>
      <c r="H9"/>
      <c r="L9" s="95"/>
      <c r="M9" s="95"/>
    </row>
    <row r="10" spans="1:21" x14ac:dyDescent="0.25">
      <c r="L10" s="95"/>
      <c r="M10" s="95"/>
    </row>
    <row r="11" spans="1:21" s="40" customFormat="1" hidden="1" x14ac:dyDescent="0.25">
      <c r="A11"/>
      <c r="B11"/>
      <c r="C11"/>
      <c r="D11" s="3"/>
      <c r="E11" s="3"/>
      <c r="F11"/>
      <c r="G11"/>
      <c r="H11"/>
      <c r="L11" s="95"/>
      <c r="M11" s="95"/>
    </row>
    <row r="12" spans="1:21" x14ac:dyDescent="0.25">
      <c r="L12" s="95"/>
      <c r="M12" s="95"/>
    </row>
    <row r="13" spans="1:21" s="40" customFormat="1" ht="45" x14ac:dyDescent="0.25">
      <c r="A13" s="34" t="s">
        <v>24</v>
      </c>
      <c r="B13" s="85" t="s">
        <v>96</v>
      </c>
      <c r="C13" s="85" t="s">
        <v>19</v>
      </c>
      <c r="D13" s="85" t="s">
        <v>18</v>
      </c>
      <c r="E13" s="148" t="s">
        <v>26</v>
      </c>
      <c r="F13" s="148" t="s">
        <v>27</v>
      </c>
      <c r="G13" s="148" t="s">
        <v>43</v>
      </c>
      <c r="H13" s="85" t="s">
        <v>45</v>
      </c>
      <c r="I13" s="149" t="s">
        <v>46</v>
      </c>
      <c r="J13" s="150" t="s">
        <v>47</v>
      </c>
      <c r="K13" s="41"/>
      <c r="L13" s="98" t="s">
        <v>88</v>
      </c>
      <c r="M13" s="98" t="s">
        <v>90</v>
      </c>
      <c r="N13" s="39"/>
      <c r="O13" s="41"/>
      <c r="P13" s="39"/>
      <c r="Q13" s="41"/>
      <c r="R13" s="39"/>
      <c r="S13" s="41"/>
      <c r="T13" s="39"/>
      <c r="U13" s="41"/>
    </row>
    <row r="14" spans="1:21" s="40" customFormat="1" x14ac:dyDescent="0.25">
      <c r="A14" t="s">
        <v>1</v>
      </c>
      <c r="B14" s="70">
        <v>0.49199999999999999</v>
      </c>
      <c r="C14" s="151">
        <v>150</v>
      </c>
      <c r="D14" s="69">
        <f t="shared" ref="D14:D27" si="0">IF(C14-$B$8&lt;0,C14+C14-$B$8,C14-$B$8)</f>
        <v>132.80000000000001</v>
      </c>
      <c r="E14" s="152">
        <f t="shared" ref="E14:E27" si="1">ROUND(B14*$B$6,0)</f>
        <v>21639746</v>
      </c>
      <c r="F14" s="152">
        <f>ROUND(B14*$B$7,0)</f>
        <v>926521</v>
      </c>
      <c r="G14" s="153">
        <f>E14-F14</f>
        <v>20713225</v>
      </c>
      <c r="H14" s="153">
        <f>E14/C14*-1</f>
        <v>-144264.97333333333</v>
      </c>
      <c r="I14" s="154">
        <f>F14-H14</f>
        <v>1070785.9733333334</v>
      </c>
      <c r="J14" s="155">
        <f>E14-I14</f>
        <v>20568960.026666667</v>
      </c>
      <c r="K14" s="42"/>
      <c r="L14" s="93">
        <f t="shared" ref="L14:L27" si="2">H14*D14</f>
        <v>-19158388.458666667</v>
      </c>
      <c r="M14" s="94"/>
      <c r="N14" s="43"/>
      <c r="O14" s="42"/>
      <c r="P14" s="43"/>
      <c r="Q14" s="42"/>
      <c r="R14" s="43"/>
      <c r="S14" s="42"/>
      <c r="T14" s="43"/>
      <c r="U14" s="42"/>
    </row>
    <row r="15" spans="1:21" s="40" customFormat="1" x14ac:dyDescent="0.25">
      <c r="A15" t="s">
        <v>2</v>
      </c>
      <c r="B15" s="70">
        <v>1.2E-2</v>
      </c>
      <c r="C15" s="151">
        <v>100</v>
      </c>
      <c r="D15" s="69">
        <f t="shared" si="0"/>
        <v>82.8</v>
      </c>
      <c r="E15" s="152">
        <f t="shared" si="1"/>
        <v>527799</v>
      </c>
      <c r="F15" s="152">
        <f t="shared" ref="F15:F27" si="3">ROUND(B15*$B$7,0)</f>
        <v>22598</v>
      </c>
      <c r="G15" s="153">
        <f t="shared" ref="G15:G27" si="4">E15-F15</f>
        <v>505201</v>
      </c>
      <c r="H15" s="153">
        <f t="shared" ref="H15:H27" si="5">E15/C15*-1</f>
        <v>-5277.99</v>
      </c>
      <c r="I15" s="154">
        <f t="shared" ref="I15:I27" si="6">F15-H15</f>
        <v>27875.989999999998</v>
      </c>
      <c r="J15" s="155">
        <f t="shared" ref="J15:J27" si="7">E15-I15</f>
        <v>499923.01</v>
      </c>
      <c r="K15" s="42"/>
      <c r="L15" s="93">
        <f t="shared" si="2"/>
        <v>-437017.57199999999</v>
      </c>
      <c r="M15" s="94"/>
      <c r="N15" s="43"/>
      <c r="O15" s="42"/>
      <c r="P15" s="43"/>
      <c r="Q15" s="42"/>
      <c r="R15" s="43"/>
      <c r="S15" s="42"/>
      <c r="T15" s="43"/>
      <c r="U15" s="42"/>
    </row>
    <row r="16" spans="1:21" s="40" customFormat="1" x14ac:dyDescent="0.25">
      <c r="A16" t="s">
        <v>3</v>
      </c>
      <c r="B16" s="70">
        <v>8.0000000000000002E-3</v>
      </c>
      <c r="C16" s="69">
        <v>50</v>
      </c>
      <c r="D16" s="69">
        <f t="shared" si="0"/>
        <v>32.799999999999997</v>
      </c>
      <c r="E16" s="152">
        <f t="shared" si="1"/>
        <v>351866</v>
      </c>
      <c r="F16" s="152">
        <f t="shared" si="3"/>
        <v>15065</v>
      </c>
      <c r="G16" s="153">
        <f t="shared" si="4"/>
        <v>336801</v>
      </c>
      <c r="H16" s="153">
        <f t="shared" si="5"/>
        <v>-7037.32</v>
      </c>
      <c r="I16" s="154">
        <f t="shared" si="6"/>
        <v>22102.32</v>
      </c>
      <c r="J16" s="155">
        <f t="shared" si="7"/>
        <v>329763.68</v>
      </c>
      <c r="K16" s="42"/>
      <c r="L16" s="93">
        <f t="shared" si="2"/>
        <v>-230824.09599999996</v>
      </c>
      <c r="M16" s="94" t="s">
        <v>61</v>
      </c>
      <c r="N16" s="43"/>
      <c r="O16" s="42"/>
      <c r="P16" s="43"/>
      <c r="Q16" s="42"/>
      <c r="R16" s="43"/>
      <c r="S16" s="42"/>
      <c r="T16" s="43"/>
      <c r="U16" s="42"/>
    </row>
    <row r="17" spans="1:23" s="40" customFormat="1" x14ac:dyDescent="0.25">
      <c r="A17" t="s">
        <v>4</v>
      </c>
      <c r="B17" s="70">
        <v>0.2</v>
      </c>
      <c r="C17" s="69">
        <v>40</v>
      </c>
      <c r="D17" s="69">
        <f t="shared" si="0"/>
        <v>22.8</v>
      </c>
      <c r="E17" s="152">
        <f t="shared" si="1"/>
        <v>8796645</v>
      </c>
      <c r="F17" s="152">
        <f t="shared" si="3"/>
        <v>376635</v>
      </c>
      <c r="G17" s="153">
        <f t="shared" si="4"/>
        <v>8420010</v>
      </c>
      <c r="H17" s="153">
        <f t="shared" si="5"/>
        <v>-219916.125</v>
      </c>
      <c r="I17" s="154">
        <f t="shared" si="6"/>
        <v>596551.125</v>
      </c>
      <c r="J17" s="155">
        <f t="shared" si="7"/>
        <v>8200093.875</v>
      </c>
      <c r="K17" s="42"/>
      <c r="L17" s="93">
        <f t="shared" si="2"/>
        <v>-5014087.6500000004</v>
      </c>
      <c r="M17" s="94" t="s">
        <v>60</v>
      </c>
      <c r="N17" s="43"/>
      <c r="O17" s="42"/>
      <c r="P17" s="43"/>
      <c r="Q17" s="42"/>
      <c r="R17" s="43"/>
      <c r="S17" s="42"/>
      <c r="T17" s="43"/>
      <c r="U17" s="42"/>
    </row>
    <row r="18" spans="1:23" s="40" customFormat="1" x14ac:dyDescent="0.25">
      <c r="A18" t="s">
        <v>5</v>
      </c>
      <c r="B18" s="70">
        <v>0.16500000000000001</v>
      </c>
      <c r="C18" s="151">
        <v>25</v>
      </c>
      <c r="D18" s="69">
        <f t="shared" si="0"/>
        <v>7.8000000000000007</v>
      </c>
      <c r="E18" s="152">
        <f t="shared" si="1"/>
        <v>7257232</v>
      </c>
      <c r="F18" s="152">
        <f t="shared" si="3"/>
        <v>310724</v>
      </c>
      <c r="G18" s="153">
        <f t="shared" si="4"/>
        <v>6946508</v>
      </c>
      <c r="H18" s="153">
        <f t="shared" si="5"/>
        <v>-290289.28000000003</v>
      </c>
      <c r="I18" s="154">
        <f t="shared" si="6"/>
        <v>601013.28</v>
      </c>
      <c r="J18" s="155">
        <f t="shared" si="7"/>
        <v>6656218.7199999997</v>
      </c>
      <c r="K18" s="42"/>
      <c r="L18" s="93">
        <f t="shared" si="2"/>
        <v>-2264256.3840000005</v>
      </c>
      <c r="M18" s="94" t="s">
        <v>101</v>
      </c>
      <c r="N18" s="43"/>
      <c r="O18" s="42"/>
      <c r="P18" s="43"/>
      <c r="Q18" s="42"/>
      <c r="R18" s="43"/>
      <c r="S18" s="42"/>
      <c r="T18" s="43"/>
      <c r="U18" s="42"/>
    </row>
    <row r="19" spans="1:23" x14ac:dyDescent="0.25">
      <c r="A19" t="s">
        <v>6</v>
      </c>
      <c r="B19" s="70">
        <v>3.0000000000000001E-3</v>
      </c>
      <c r="C19" s="69">
        <v>50</v>
      </c>
      <c r="D19" s="69">
        <f>IF(C19-$B$8&lt;0,C19+C19-$B$8,C19-$B$8)</f>
        <v>32.799999999999997</v>
      </c>
      <c r="E19" s="152">
        <f t="shared" si="1"/>
        <v>131950</v>
      </c>
      <c r="F19" s="152">
        <f t="shared" si="3"/>
        <v>5650</v>
      </c>
      <c r="G19" s="153">
        <f t="shared" si="4"/>
        <v>126300</v>
      </c>
      <c r="H19" s="153">
        <f t="shared" si="5"/>
        <v>-2639</v>
      </c>
      <c r="I19" s="154">
        <f t="shared" si="6"/>
        <v>8289</v>
      </c>
      <c r="J19" s="155">
        <f t="shared" si="7"/>
        <v>123661</v>
      </c>
      <c r="K19" s="42"/>
      <c r="L19" s="93">
        <f t="shared" si="2"/>
        <v>-86559.2</v>
      </c>
      <c r="M19" s="94" t="s">
        <v>69</v>
      </c>
      <c r="N19" s="43"/>
      <c r="O19" s="42"/>
      <c r="P19" s="43"/>
      <c r="Q19" s="42"/>
      <c r="R19" s="43"/>
      <c r="S19" s="42"/>
      <c r="T19" s="43"/>
      <c r="U19" s="42"/>
    </row>
    <row r="20" spans="1:23" x14ac:dyDescent="0.25">
      <c r="A20" t="s">
        <v>7</v>
      </c>
      <c r="B20" s="70">
        <v>2E-3</v>
      </c>
      <c r="C20" s="69">
        <v>50</v>
      </c>
      <c r="D20" s="69">
        <f t="shared" si="0"/>
        <v>32.799999999999997</v>
      </c>
      <c r="E20" s="152">
        <f t="shared" si="1"/>
        <v>87966</v>
      </c>
      <c r="F20" s="152">
        <f t="shared" si="3"/>
        <v>3766</v>
      </c>
      <c r="G20" s="153">
        <f t="shared" si="4"/>
        <v>84200</v>
      </c>
      <c r="H20" s="153">
        <f t="shared" si="5"/>
        <v>-1759.32</v>
      </c>
      <c r="I20" s="154">
        <f t="shared" si="6"/>
        <v>5525.32</v>
      </c>
      <c r="J20" s="155">
        <f t="shared" si="7"/>
        <v>82440.679999999993</v>
      </c>
      <c r="K20" s="42"/>
      <c r="L20" s="93">
        <f t="shared" si="2"/>
        <v>-57705.695999999996</v>
      </c>
      <c r="M20" s="94" t="s">
        <v>65</v>
      </c>
      <c r="N20" s="43"/>
      <c r="O20" s="42"/>
      <c r="P20" s="43"/>
      <c r="Q20" s="42"/>
      <c r="R20" s="43"/>
      <c r="S20" s="42"/>
      <c r="T20" s="43"/>
      <c r="U20" s="42"/>
    </row>
    <row r="21" spans="1:23" hidden="1" x14ac:dyDescent="0.25">
      <c r="A21" s="31" t="s">
        <v>8</v>
      </c>
      <c r="B21" s="70">
        <v>0</v>
      </c>
      <c r="C21" s="69">
        <v>30</v>
      </c>
      <c r="D21" s="69">
        <f t="shared" si="0"/>
        <v>12.8</v>
      </c>
      <c r="E21" s="152">
        <f t="shared" si="1"/>
        <v>0</v>
      </c>
      <c r="F21" s="152">
        <f t="shared" si="3"/>
        <v>0</v>
      </c>
      <c r="G21" s="153">
        <f t="shared" si="4"/>
        <v>0</v>
      </c>
      <c r="H21" s="153">
        <f t="shared" si="5"/>
        <v>0</v>
      </c>
      <c r="I21" s="154">
        <f t="shared" si="6"/>
        <v>0</v>
      </c>
      <c r="J21" s="155">
        <f t="shared" si="7"/>
        <v>0</v>
      </c>
      <c r="K21" s="42"/>
      <c r="L21" s="93">
        <f t="shared" si="2"/>
        <v>0</v>
      </c>
      <c r="M21" s="94"/>
      <c r="N21" s="43"/>
      <c r="O21" s="42"/>
      <c r="P21" s="43"/>
      <c r="Q21" s="42"/>
      <c r="R21" s="43"/>
      <c r="S21" s="42"/>
      <c r="T21" s="43"/>
      <c r="U21" s="42"/>
    </row>
    <row r="22" spans="1:23" x14ac:dyDescent="0.25">
      <c r="A22" t="s">
        <v>8</v>
      </c>
      <c r="B22" s="70">
        <v>3.5000000000000003E-2</v>
      </c>
      <c r="C22" s="69">
        <v>30</v>
      </c>
      <c r="D22" s="69">
        <f t="shared" si="0"/>
        <v>12.8</v>
      </c>
      <c r="E22" s="152">
        <f t="shared" si="1"/>
        <v>1539413</v>
      </c>
      <c r="F22" s="152">
        <f t="shared" si="3"/>
        <v>65911</v>
      </c>
      <c r="G22" s="153">
        <f t="shared" si="4"/>
        <v>1473502</v>
      </c>
      <c r="H22" s="153">
        <f t="shared" si="5"/>
        <v>-51313.76666666667</v>
      </c>
      <c r="I22" s="154">
        <f t="shared" si="6"/>
        <v>117224.76666666666</v>
      </c>
      <c r="J22" s="155">
        <f t="shared" si="7"/>
        <v>1422188.2333333334</v>
      </c>
      <c r="K22" s="42"/>
      <c r="L22" s="93">
        <f t="shared" si="2"/>
        <v>-656816.21333333338</v>
      </c>
      <c r="M22" s="94" t="s">
        <v>101</v>
      </c>
      <c r="N22" s="43"/>
      <c r="O22" s="42"/>
      <c r="P22" s="43"/>
      <c r="Q22" s="42"/>
      <c r="R22" s="43"/>
      <c r="S22" s="42"/>
      <c r="T22" s="43"/>
      <c r="U22" s="42"/>
    </row>
    <row r="23" spans="1:23" s="14" customFormat="1" x14ac:dyDescent="0.25">
      <c r="A23" t="s">
        <v>9</v>
      </c>
      <c r="B23" s="70">
        <v>0.05</v>
      </c>
      <c r="C23" s="69">
        <v>40</v>
      </c>
      <c r="D23" s="69">
        <f t="shared" si="0"/>
        <v>22.8</v>
      </c>
      <c r="E23" s="152">
        <f t="shared" si="1"/>
        <v>2199161</v>
      </c>
      <c r="F23" s="152">
        <f t="shared" si="3"/>
        <v>94159</v>
      </c>
      <c r="G23" s="153">
        <f t="shared" si="4"/>
        <v>2105002</v>
      </c>
      <c r="H23" s="153">
        <f t="shared" si="5"/>
        <v>-54979.025000000001</v>
      </c>
      <c r="I23" s="154">
        <f t="shared" si="6"/>
        <v>149138.02499999999</v>
      </c>
      <c r="J23" s="155">
        <f t="shared" si="7"/>
        <v>2050022.9750000001</v>
      </c>
      <c r="K23" s="42"/>
      <c r="L23" s="93">
        <f t="shared" si="2"/>
        <v>-1253521.77</v>
      </c>
      <c r="M23" s="94" t="s">
        <v>66</v>
      </c>
      <c r="N23" s="43"/>
      <c r="O23" s="42"/>
      <c r="P23" s="43"/>
      <c r="Q23" s="42"/>
      <c r="R23" s="43"/>
      <c r="S23" s="42"/>
      <c r="T23" s="43"/>
      <c r="U23" s="42"/>
      <c r="V23" s="40"/>
      <c r="W23" s="40"/>
    </row>
    <row r="24" spans="1:23" x14ac:dyDescent="0.25">
      <c r="A24" s="14" t="s">
        <v>10</v>
      </c>
      <c r="B24" s="72">
        <v>3.0000000000000001E-3</v>
      </c>
      <c r="C24" s="71">
        <v>25</v>
      </c>
      <c r="D24" s="69">
        <f t="shared" si="0"/>
        <v>7.8000000000000007</v>
      </c>
      <c r="E24" s="156">
        <f t="shared" si="1"/>
        <v>131950</v>
      </c>
      <c r="F24" s="152">
        <f t="shared" si="3"/>
        <v>5650</v>
      </c>
      <c r="G24" s="153">
        <f t="shared" si="4"/>
        <v>126300</v>
      </c>
      <c r="H24" s="153">
        <f t="shared" si="5"/>
        <v>-5278</v>
      </c>
      <c r="I24" s="154">
        <f t="shared" si="6"/>
        <v>10928</v>
      </c>
      <c r="J24" s="155">
        <f t="shared" si="7"/>
        <v>121022</v>
      </c>
      <c r="K24" s="42"/>
      <c r="L24" s="93">
        <f t="shared" si="2"/>
        <v>-41168.400000000001</v>
      </c>
      <c r="M24" s="94" t="s">
        <v>70</v>
      </c>
      <c r="N24" s="43"/>
      <c r="O24" s="42"/>
      <c r="P24" s="43"/>
      <c r="Q24" s="42"/>
      <c r="R24" s="43"/>
      <c r="S24" s="42"/>
      <c r="T24" s="43"/>
      <c r="U24" s="42"/>
    </row>
    <row r="25" spans="1:23" x14ac:dyDescent="0.25">
      <c r="A25" t="s">
        <v>11</v>
      </c>
      <c r="B25" s="70">
        <v>3.0000000000000001E-3</v>
      </c>
      <c r="C25" s="151">
        <v>40</v>
      </c>
      <c r="D25" s="69">
        <f t="shared" si="0"/>
        <v>22.8</v>
      </c>
      <c r="E25" s="152">
        <f t="shared" si="1"/>
        <v>131950</v>
      </c>
      <c r="F25" s="152">
        <f t="shared" si="3"/>
        <v>5650</v>
      </c>
      <c r="G25" s="153">
        <f t="shared" si="4"/>
        <v>126300</v>
      </c>
      <c r="H25" s="153">
        <f t="shared" si="5"/>
        <v>-3298.75</v>
      </c>
      <c r="I25" s="154">
        <f t="shared" si="6"/>
        <v>8948.75</v>
      </c>
      <c r="J25" s="155">
        <f t="shared" si="7"/>
        <v>123001.25</v>
      </c>
      <c r="K25" s="42"/>
      <c r="L25" s="93">
        <f t="shared" si="2"/>
        <v>-75211.5</v>
      </c>
      <c r="M25" s="94" t="s">
        <v>67</v>
      </c>
      <c r="N25" s="43"/>
      <c r="O25" s="42"/>
      <c r="P25" s="43"/>
      <c r="Q25" s="42"/>
      <c r="R25" s="43"/>
      <c r="S25" s="42"/>
      <c r="T25" s="43"/>
      <c r="U25" s="42"/>
    </row>
    <row r="26" spans="1:23" x14ac:dyDescent="0.25">
      <c r="A26" t="s">
        <v>12</v>
      </c>
      <c r="B26" s="70">
        <v>2.4E-2</v>
      </c>
      <c r="C26" s="69">
        <v>15</v>
      </c>
      <c r="D26" s="69">
        <f t="shared" si="0"/>
        <v>12.8</v>
      </c>
      <c r="E26" s="152">
        <f t="shared" si="1"/>
        <v>1055597</v>
      </c>
      <c r="F26" s="152">
        <f t="shared" si="3"/>
        <v>45196</v>
      </c>
      <c r="G26" s="153">
        <f t="shared" si="4"/>
        <v>1010401</v>
      </c>
      <c r="H26" s="153">
        <f t="shared" si="5"/>
        <v>-70373.133333333331</v>
      </c>
      <c r="I26" s="154">
        <f t="shared" si="6"/>
        <v>115569.13333333333</v>
      </c>
      <c r="J26" s="155">
        <f t="shared" si="7"/>
        <v>940027.8666666667</v>
      </c>
      <c r="K26" s="42"/>
      <c r="L26" s="93">
        <f t="shared" si="2"/>
        <v>-900776.10666666669</v>
      </c>
      <c r="M26" s="94" t="s">
        <v>68</v>
      </c>
      <c r="N26" s="43"/>
      <c r="O26" s="42"/>
      <c r="P26" s="43"/>
      <c r="Q26" s="42"/>
      <c r="R26" s="43"/>
      <c r="S26" s="42"/>
      <c r="T26" s="43"/>
      <c r="U26" s="42"/>
    </row>
    <row r="27" spans="1:23" x14ac:dyDescent="0.25">
      <c r="A27" s="17" t="s">
        <v>13</v>
      </c>
      <c r="B27" s="74">
        <v>3.0000000000000001E-3</v>
      </c>
      <c r="C27" s="73">
        <v>50</v>
      </c>
      <c r="D27" s="73">
        <f t="shared" si="0"/>
        <v>32.799999999999997</v>
      </c>
      <c r="E27" s="157">
        <f t="shared" si="1"/>
        <v>131950</v>
      </c>
      <c r="F27" s="157">
        <f t="shared" si="3"/>
        <v>5650</v>
      </c>
      <c r="G27" s="158">
        <f t="shared" si="4"/>
        <v>126300</v>
      </c>
      <c r="H27" s="153">
        <f t="shared" si="5"/>
        <v>-2639</v>
      </c>
      <c r="I27" s="159">
        <f t="shared" si="6"/>
        <v>8289</v>
      </c>
      <c r="J27" s="157">
        <f t="shared" si="7"/>
        <v>123661</v>
      </c>
      <c r="K27" s="42"/>
      <c r="L27" s="93">
        <f t="shared" si="2"/>
        <v>-86559.2</v>
      </c>
      <c r="M27" s="94"/>
      <c r="N27" s="43"/>
      <c r="O27" s="42"/>
      <c r="P27" s="43"/>
      <c r="Q27" s="42"/>
      <c r="R27" s="43"/>
      <c r="S27" s="42"/>
      <c r="T27" s="43"/>
      <c r="U27" s="42"/>
    </row>
    <row r="28" spans="1:23" x14ac:dyDescent="0.25">
      <c r="B28" s="76">
        <f>SUM(B14:B27)</f>
        <v>1</v>
      </c>
      <c r="C28" s="75">
        <f>E28/H28</f>
        <v>-51.198908131607553</v>
      </c>
      <c r="D28" s="77">
        <f>J28/H28</f>
        <v>-48.006788208142645</v>
      </c>
      <c r="E28" s="156">
        <f t="shared" ref="E28:J28" si="8">SUM(E14:E27)</f>
        <v>43983225</v>
      </c>
      <c r="F28" s="156">
        <f t="shared" si="8"/>
        <v>1883175</v>
      </c>
      <c r="G28" s="156">
        <f t="shared" si="8"/>
        <v>42100050</v>
      </c>
      <c r="H28" s="160">
        <f t="shared" si="8"/>
        <v>-859065.68333333335</v>
      </c>
      <c r="I28" s="155">
        <f t="shared" si="8"/>
        <v>2742240.6833333331</v>
      </c>
      <c r="J28" s="154">
        <f t="shared" si="8"/>
        <v>41240984.31666667</v>
      </c>
      <c r="K28" s="43"/>
      <c r="L28" s="94">
        <f>SUM(L14:L27)</f>
        <v>-30262892.246666666</v>
      </c>
      <c r="M28" s="93"/>
      <c r="N28" s="42"/>
      <c r="O28" s="43"/>
      <c r="P28" s="42"/>
      <c r="Q28" s="43"/>
      <c r="R28" s="42"/>
      <c r="S28" s="43"/>
      <c r="T28" s="42"/>
      <c r="U28" s="43"/>
    </row>
    <row r="29" spans="1:23" x14ac:dyDescent="0.25">
      <c r="B29" s="69"/>
      <c r="C29" s="69"/>
      <c r="D29" s="156"/>
      <c r="E29" s="156"/>
      <c r="F29" s="71"/>
      <c r="G29" s="71"/>
      <c r="H29" s="71"/>
      <c r="I29" s="161"/>
      <c r="J29" s="161"/>
    </row>
    <row r="30" spans="1:23" x14ac:dyDescent="0.25">
      <c r="B30" s="69"/>
      <c r="C30" s="69"/>
      <c r="D30" s="152"/>
      <c r="E30" s="152"/>
      <c r="F30" s="162"/>
      <c r="G30" s="69"/>
      <c r="H30" s="69"/>
      <c r="I30" s="161"/>
      <c r="J30" s="161"/>
    </row>
    <row r="31" spans="1:23" x14ac:dyDescent="0.25">
      <c r="B31" s="69"/>
      <c r="C31" s="69"/>
      <c r="D31" s="152"/>
      <c r="E31" s="152"/>
      <c r="F31" s="69"/>
      <c r="G31" s="69"/>
      <c r="H31" s="69"/>
      <c r="I31" s="161"/>
      <c r="J31" s="161"/>
    </row>
    <row r="32" spans="1:23" ht="45" hidden="1" x14ac:dyDescent="0.25">
      <c r="A32" s="34" t="s">
        <v>24</v>
      </c>
      <c r="B32" s="68" t="s">
        <v>25</v>
      </c>
      <c r="C32" s="68" t="s">
        <v>19</v>
      </c>
      <c r="D32" s="68" t="s">
        <v>18</v>
      </c>
      <c r="E32" s="86" t="s">
        <v>26</v>
      </c>
      <c r="F32" s="86" t="s">
        <v>27</v>
      </c>
      <c r="G32" s="86" t="s">
        <v>28</v>
      </c>
      <c r="H32" s="68" t="s">
        <v>29</v>
      </c>
      <c r="I32" s="163"/>
      <c r="J32" s="146"/>
      <c r="K32" s="41"/>
      <c r="L32" s="39"/>
      <c r="M32" s="41"/>
      <c r="N32" s="39"/>
      <c r="O32" s="41"/>
      <c r="P32" s="39"/>
      <c r="Q32" s="41"/>
      <c r="R32" s="39"/>
      <c r="S32" s="41"/>
      <c r="T32" s="39"/>
      <c r="U32" s="41"/>
    </row>
    <row r="33" spans="1:23" hidden="1" x14ac:dyDescent="0.25">
      <c r="A33" t="s">
        <v>1</v>
      </c>
      <c r="B33" s="69"/>
      <c r="C33" s="69">
        <v>100</v>
      </c>
      <c r="D33" s="69">
        <f>IF(C33-ROUND(($E$3-B33)/365,2)&lt;0,0,C33-ROUND(($E$3-B33)/365,2))</f>
        <v>0</v>
      </c>
      <c r="E33" s="152"/>
      <c r="F33" s="153"/>
      <c r="G33" s="153">
        <f>SUM(E33:F33)</f>
        <v>0</v>
      </c>
      <c r="H33" s="153"/>
      <c r="I33" s="163"/>
      <c r="J33" s="146"/>
      <c r="K33" s="41"/>
      <c r="L33" s="39"/>
      <c r="M33" s="41"/>
      <c r="N33" s="39"/>
      <c r="O33" s="41"/>
      <c r="P33" s="39"/>
      <c r="Q33" s="41"/>
      <c r="R33" s="39"/>
      <c r="S33" s="41"/>
      <c r="T33" s="39"/>
      <c r="U33" s="41"/>
    </row>
    <row r="34" spans="1:23" hidden="1" x14ac:dyDescent="0.25">
      <c r="A34" t="s">
        <v>22</v>
      </c>
      <c r="B34" s="69"/>
      <c r="C34" s="69">
        <v>50</v>
      </c>
      <c r="D34" s="69">
        <f t="shared" ref="D34:D49" si="9">IF(C34-ROUND(($E$3-B34)/365,2)&lt;0,0,C34-ROUND(($E$3-B34)/365,2))</f>
        <v>0</v>
      </c>
      <c r="E34" s="152"/>
      <c r="F34" s="152"/>
      <c r="G34" s="153">
        <f t="shared" ref="G34:G42" si="10">SUM(E34:F34)</f>
        <v>0</v>
      </c>
      <c r="H34" s="153"/>
      <c r="I34" s="163"/>
      <c r="J34" s="146"/>
      <c r="K34" s="41"/>
      <c r="L34" s="39"/>
      <c r="M34" s="41"/>
      <c r="N34" s="39"/>
      <c r="O34" s="41"/>
      <c r="P34" s="39"/>
      <c r="Q34" s="41"/>
      <c r="R34" s="39"/>
      <c r="S34" s="41"/>
      <c r="T34" s="39"/>
      <c r="U34" s="41"/>
    </row>
    <row r="35" spans="1:23" hidden="1" x14ac:dyDescent="0.25">
      <c r="A35" t="s">
        <v>30</v>
      </c>
      <c r="B35" s="164"/>
      <c r="C35" s="69">
        <v>50</v>
      </c>
      <c r="D35" s="69">
        <f>IF(C35-ROUND(($E$3-B35)/365,2)&lt;0,0,C35-ROUND(($E$3-B35)/365,2))</f>
        <v>0</v>
      </c>
      <c r="E35" s="152"/>
      <c r="F35" s="152"/>
      <c r="G35" s="153">
        <f t="shared" si="10"/>
        <v>0</v>
      </c>
      <c r="H35" s="153"/>
      <c r="I35" s="163"/>
      <c r="J35" s="146"/>
      <c r="K35" s="41"/>
      <c r="L35" s="39"/>
      <c r="M35" s="41"/>
      <c r="N35" s="39"/>
      <c r="O35" s="41"/>
      <c r="P35" s="39"/>
      <c r="Q35" s="41"/>
      <c r="R35" s="39"/>
      <c r="S35" s="41"/>
      <c r="T35" s="39"/>
      <c r="U35" s="41"/>
    </row>
    <row r="36" spans="1:23" hidden="1" x14ac:dyDescent="0.25">
      <c r="A36" t="s">
        <v>31</v>
      </c>
      <c r="B36" s="164"/>
      <c r="C36" s="69">
        <v>50</v>
      </c>
      <c r="D36" s="69">
        <f>IF(C36-ROUND(($E$3-B36)/365,2)&lt;0,0,C36-ROUND(($E$3-B36)/365,2))</f>
        <v>0</v>
      </c>
      <c r="E36" s="152"/>
      <c r="F36" s="152"/>
      <c r="G36" s="153">
        <f t="shared" si="10"/>
        <v>0</v>
      </c>
      <c r="H36" s="153"/>
      <c r="I36" s="163"/>
      <c r="J36" s="146"/>
      <c r="K36" s="41"/>
      <c r="L36" s="39"/>
      <c r="M36" s="41"/>
      <c r="N36" s="39"/>
      <c r="O36" s="41"/>
      <c r="P36" s="39"/>
      <c r="Q36" s="41"/>
      <c r="R36" s="39"/>
      <c r="S36" s="41"/>
      <c r="T36" s="39"/>
      <c r="U36" s="41"/>
    </row>
    <row r="37" spans="1:23" hidden="1" x14ac:dyDescent="0.25">
      <c r="A37" t="s">
        <v>32</v>
      </c>
      <c r="B37" s="164"/>
      <c r="C37" s="69">
        <v>50</v>
      </c>
      <c r="D37" s="69">
        <f>IF(C37-ROUND(($E$3-B37)/365,2)&lt;0,0,C37-ROUND(($E$3-B37)/365,2))</f>
        <v>0</v>
      </c>
      <c r="E37" s="152"/>
      <c r="F37" s="152"/>
      <c r="G37" s="153">
        <f t="shared" si="10"/>
        <v>0</v>
      </c>
      <c r="H37" s="153"/>
      <c r="I37" s="163"/>
      <c r="J37" s="146"/>
      <c r="K37" s="41"/>
      <c r="L37" s="39"/>
      <c r="M37" s="41"/>
      <c r="N37" s="39"/>
      <c r="O37" s="41"/>
      <c r="P37" s="39"/>
      <c r="Q37" s="41"/>
      <c r="R37" s="39"/>
      <c r="S37" s="41"/>
      <c r="T37" s="39"/>
      <c r="U37" s="41"/>
    </row>
    <row r="38" spans="1:23" hidden="1" x14ac:dyDescent="0.25">
      <c r="A38" t="s">
        <v>33</v>
      </c>
      <c r="B38" s="164"/>
      <c r="C38" s="69">
        <v>50</v>
      </c>
      <c r="D38" s="69">
        <f>IF(C38-ROUND(($E$3-B38)/365,2)&lt;0,0,C38-ROUND(($E$3-B38)/365,2))</f>
        <v>0</v>
      </c>
      <c r="E38" s="152"/>
      <c r="F38" s="152"/>
      <c r="G38" s="153">
        <f t="shared" si="10"/>
        <v>0</v>
      </c>
      <c r="H38" s="153"/>
      <c r="I38" s="163"/>
      <c r="J38" s="146"/>
      <c r="K38" s="41"/>
      <c r="L38" s="39"/>
      <c r="M38" s="41"/>
      <c r="N38" s="39"/>
      <c r="O38" s="41"/>
      <c r="P38" s="39"/>
      <c r="Q38" s="41"/>
      <c r="R38" s="39"/>
      <c r="S38" s="41"/>
      <c r="T38" s="39"/>
      <c r="U38" s="41"/>
    </row>
    <row r="39" spans="1:23" hidden="1" x14ac:dyDescent="0.25">
      <c r="A39" t="s">
        <v>3</v>
      </c>
      <c r="B39" s="69"/>
      <c r="C39" s="69">
        <v>50</v>
      </c>
      <c r="D39" s="69">
        <f t="shared" si="9"/>
        <v>0</v>
      </c>
      <c r="E39" s="152"/>
      <c r="F39" s="152"/>
      <c r="G39" s="153">
        <f t="shared" si="10"/>
        <v>0</v>
      </c>
      <c r="H39" s="153"/>
      <c r="I39" s="163"/>
      <c r="J39" s="146"/>
      <c r="K39" s="41"/>
      <c r="L39" s="39"/>
      <c r="M39" s="41"/>
      <c r="N39" s="39"/>
      <c r="O39" s="41"/>
      <c r="P39" s="39"/>
      <c r="Q39" s="41"/>
      <c r="R39" s="39"/>
      <c r="S39" s="41"/>
      <c r="T39" s="39"/>
      <c r="U39" s="41"/>
    </row>
    <row r="40" spans="1:23" hidden="1" x14ac:dyDescent="0.25">
      <c r="A40" t="s">
        <v>34</v>
      </c>
      <c r="B40" s="164"/>
      <c r="C40" s="69">
        <v>50</v>
      </c>
      <c r="D40" s="69">
        <f t="shared" si="9"/>
        <v>0</v>
      </c>
      <c r="E40" s="152"/>
      <c r="F40" s="152"/>
      <c r="G40" s="153">
        <f t="shared" si="10"/>
        <v>0</v>
      </c>
      <c r="H40" s="153"/>
      <c r="I40" s="163"/>
      <c r="J40" s="146"/>
      <c r="K40" s="41"/>
      <c r="L40" s="39"/>
      <c r="M40" s="41"/>
      <c r="N40" s="39"/>
      <c r="O40" s="41"/>
      <c r="P40" s="39"/>
      <c r="Q40" s="41"/>
      <c r="R40" s="39"/>
      <c r="S40" s="41"/>
      <c r="T40" s="39"/>
      <c r="U40" s="41"/>
    </row>
    <row r="41" spans="1:23" hidden="1" x14ac:dyDescent="0.25">
      <c r="A41" t="s">
        <v>35</v>
      </c>
      <c r="B41" s="164"/>
      <c r="C41" s="69">
        <v>30</v>
      </c>
      <c r="D41" s="69">
        <f>IF(C41-ROUND(($E$3-B41)/365,2)&lt;0,0,C41-ROUND(($E$3-B41)/365,2))</f>
        <v>0</v>
      </c>
      <c r="E41" s="152"/>
      <c r="F41" s="152"/>
      <c r="G41" s="153">
        <f t="shared" si="10"/>
        <v>0</v>
      </c>
      <c r="H41" s="153"/>
      <c r="I41" s="163"/>
      <c r="J41" s="146"/>
      <c r="K41" s="41"/>
      <c r="L41" s="39"/>
      <c r="M41" s="41"/>
      <c r="N41" s="39"/>
      <c r="O41" s="41"/>
      <c r="P41" s="39"/>
      <c r="Q41" s="41"/>
      <c r="R41" s="39"/>
      <c r="S41" s="41"/>
      <c r="T41" s="39"/>
      <c r="U41" s="41"/>
    </row>
    <row r="42" spans="1:23" hidden="1" x14ac:dyDescent="0.25">
      <c r="A42" t="s">
        <v>4</v>
      </c>
      <c r="B42" s="69"/>
      <c r="C42" s="69">
        <v>40</v>
      </c>
      <c r="D42" s="69">
        <f t="shared" si="9"/>
        <v>0</v>
      </c>
      <c r="E42" s="152"/>
      <c r="F42" s="152"/>
      <c r="G42" s="153">
        <f t="shared" si="10"/>
        <v>0</v>
      </c>
      <c r="H42" s="153"/>
      <c r="I42" s="163"/>
      <c r="J42" s="146"/>
      <c r="K42" s="41"/>
      <c r="L42" s="39"/>
      <c r="M42" s="41"/>
      <c r="N42" s="39"/>
      <c r="O42" s="41"/>
      <c r="P42" s="39"/>
      <c r="Q42" s="41"/>
      <c r="R42" s="39"/>
      <c r="S42" s="41"/>
      <c r="T42" s="39"/>
      <c r="U42" s="41"/>
    </row>
    <row r="43" spans="1:23" x14ac:dyDescent="0.25">
      <c r="A43" s="44" t="s">
        <v>48</v>
      </c>
      <c r="B43" s="165">
        <v>42005</v>
      </c>
      <c r="C43" s="166">
        <v>15</v>
      </c>
      <c r="D43" s="167">
        <f t="shared" si="9"/>
        <v>11</v>
      </c>
      <c r="E43" s="168">
        <v>611537</v>
      </c>
      <c r="F43" s="169">
        <v>46877</v>
      </c>
      <c r="G43" s="170">
        <v>554861</v>
      </c>
      <c r="H43" s="170">
        <f>E43/C43*-1</f>
        <v>-40769.133333333331</v>
      </c>
      <c r="I43" s="171">
        <f>F43-H43</f>
        <v>87646.133333333331</v>
      </c>
      <c r="J43" s="146">
        <f>E43-I43</f>
        <v>523890.8666666667</v>
      </c>
      <c r="K43" s="42"/>
      <c r="L43" s="39"/>
      <c r="M43" s="42"/>
      <c r="N43" s="39"/>
      <c r="O43" s="42"/>
      <c r="P43" s="39"/>
      <c r="Q43" s="42"/>
      <c r="R43" s="39"/>
      <c r="S43" s="42"/>
      <c r="T43" s="39"/>
      <c r="U43" s="42"/>
    </row>
    <row r="44" spans="1:23" x14ac:dyDescent="0.25">
      <c r="A44" s="44" t="s">
        <v>49</v>
      </c>
      <c r="B44" s="165">
        <v>42005</v>
      </c>
      <c r="C44" s="166">
        <v>10</v>
      </c>
      <c r="D44" s="167">
        <f t="shared" si="9"/>
        <v>6</v>
      </c>
      <c r="E44" s="168">
        <v>504258</v>
      </c>
      <c r="F44" s="169">
        <v>55474</v>
      </c>
      <c r="G44" s="170">
        <v>458583</v>
      </c>
      <c r="H44" s="170">
        <f t="shared" ref="H44:H49" si="11">E44/C44*-1</f>
        <v>-50425.8</v>
      </c>
      <c r="I44" s="171">
        <f t="shared" ref="I44:I49" si="12">F44-H44</f>
        <v>105899.8</v>
      </c>
      <c r="J44" s="146">
        <f t="shared" ref="J44:J49" si="13">E44-I44</f>
        <v>398358.2</v>
      </c>
      <c r="K44" s="42"/>
      <c r="L44" s="39"/>
      <c r="M44" s="42"/>
      <c r="N44" s="39"/>
      <c r="O44" s="42"/>
      <c r="P44" s="39"/>
      <c r="Q44" s="42"/>
      <c r="R44" s="39"/>
      <c r="S44" s="42"/>
      <c r="T44" s="39"/>
      <c r="U44" s="42"/>
    </row>
    <row r="45" spans="1:23" x14ac:dyDescent="0.25">
      <c r="A45" s="44" t="s">
        <v>50</v>
      </c>
      <c r="B45" s="165">
        <v>42278</v>
      </c>
      <c r="C45" s="166">
        <v>10</v>
      </c>
      <c r="D45" s="167">
        <f t="shared" si="9"/>
        <v>6.75</v>
      </c>
      <c r="E45" s="168">
        <v>648475</v>
      </c>
      <c r="F45" s="169">
        <v>81192</v>
      </c>
      <c r="G45" s="170">
        <v>502436</v>
      </c>
      <c r="H45" s="170">
        <f t="shared" si="11"/>
        <v>-64847.5</v>
      </c>
      <c r="I45" s="171">
        <f t="shared" si="12"/>
        <v>146039.5</v>
      </c>
      <c r="J45" s="146">
        <f t="shared" si="13"/>
        <v>502435.5</v>
      </c>
      <c r="K45" s="42"/>
      <c r="L45" s="39"/>
      <c r="M45" s="42"/>
      <c r="N45" s="39"/>
      <c r="O45" s="42"/>
      <c r="P45" s="39"/>
      <c r="Q45" s="42"/>
      <c r="R45" s="39"/>
      <c r="S45" s="42"/>
      <c r="T45" s="39"/>
      <c r="U45" s="42"/>
    </row>
    <row r="46" spans="1:23" s="14" customFormat="1" x14ac:dyDescent="0.25">
      <c r="A46" s="59" t="s">
        <v>51</v>
      </c>
      <c r="B46" s="172">
        <v>38353</v>
      </c>
      <c r="C46" s="173">
        <v>25</v>
      </c>
      <c r="D46" s="174">
        <f t="shared" si="9"/>
        <v>10.99</v>
      </c>
      <c r="E46" s="169">
        <v>1245359</v>
      </c>
      <c r="F46" s="169">
        <v>398512</v>
      </c>
      <c r="G46" s="170">
        <v>846847</v>
      </c>
      <c r="H46" s="170">
        <f t="shared" si="11"/>
        <v>-49814.36</v>
      </c>
      <c r="I46" s="171">
        <f t="shared" si="12"/>
        <v>448326.36</v>
      </c>
      <c r="J46" s="146">
        <f t="shared" si="13"/>
        <v>797032.64</v>
      </c>
      <c r="K46" s="42"/>
      <c r="L46" s="39"/>
      <c r="M46" s="42"/>
      <c r="N46" s="39"/>
      <c r="O46" s="42"/>
      <c r="P46" s="39"/>
      <c r="Q46" s="42"/>
      <c r="R46" s="39"/>
      <c r="S46" s="42"/>
      <c r="T46" s="39"/>
      <c r="U46" s="42"/>
      <c r="V46" s="40"/>
      <c r="W46" s="40"/>
    </row>
    <row r="47" spans="1:23" x14ac:dyDescent="0.25">
      <c r="A47" s="44" t="s">
        <v>52</v>
      </c>
      <c r="B47" s="165">
        <v>43100</v>
      </c>
      <c r="C47" s="166">
        <v>10</v>
      </c>
      <c r="D47" s="167">
        <f t="shared" si="9"/>
        <v>9</v>
      </c>
      <c r="E47" s="169">
        <v>94708</v>
      </c>
      <c r="F47" s="168">
        <v>17479</v>
      </c>
      <c r="G47" s="175">
        <f t="shared" ref="G47:G49" si="14">E47+H47*(C47-D47)</f>
        <v>85237.2</v>
      </c>
      <c r="H47" s="175">
        <f t="shared" si="11"/>
        <v>-9470.7999999999993</v>
      </c>
      <c r="I47" s="171">
        <f t="shared" si="12"/>
        <v>26949.8</v>
      </c>
      <c r="J47" s="146">
        <f t="shared" si="13"/>
        <v>67758.2</v>
      </c>
      <c r="K47" s="42"/>
      <c r="L47" s="39"/>
      <c r="M47" s="42"/>
      <c r="N47" s="39"/>
      <c r="O47" s="42"/>
      <c r="P47" s="39"/>
      <c r="Q47" s="42"/>
      <c r="R47" s="39"/>
      <c r="S47" s="42"/>
      <c r="T47" s="39"/>
      <c r="U47" s="42"/>
    </row>
    <row r="48" spans="1:23" x14ac:dyDescent="0.25">
      <c r="A48" s="44" t="s">
        <v>53</v>
      </c>
      <c r="B48" s="165">
        <v>43009</v>
      </c>
      <c r="C48" s="166">
        <v>50</v>
      </c>
      <c r="D48" s="167">
        <f t="shared" si="9"/>
        <v>48.75</v>
      </c>
      <c r="E48" s="169">
        <v>2621293</v>
      </c>
      <c r="F48" s="168">
        <v>17475</v>
      </c>
      <c r="G48" s="175">
        <f t="shared" si="14"/>
        <v>2555760.6749999998</v>
      </c>
      <c r="H48" s="175">
        <f t="shared" si="11"/>
        <v>-52425.86</v>
      </c>
      <c r="I48" s="171">
        <f t="shared" si="12"/>
        <v>69900.86</v>
      </c>
      <c r="J48" s="146">
        <f t="shared" si="13"/>
        <v>2551392.14</v>
      </c>
      <c r="K48" s="42"/>
      <c r="L48" s="39"/>
      <c r="M48" s="42"/>
      <c r="N48" s="39"/>
      <c r="O48" s="42"/>
      <c r="P48" s="39"/>
      <c r="Q48" s="42"/>
      <c r="R48" s="39"/>
      <c r="S48" s="42"/>
      <c r="T48" s="39"/>
      <c r="U48" s="42"/>
    </row>
    <row r="49" spans="1:21" x14ac:dyDescent="0.25">
      <c r="A49" s="44" t="s">
        <v>54</v>
      </c>
      <c r="B49" s="165">
        <v>43281</v>
      </c>
      <c r="C49" s="166">
        <v>10</v>
      </c>
      <c r="D49" s="167">
        <f t="shared" si="9"/>
        <v>9.5</v>
      </c>
      <c r="E49" s="169">
        <v>154282</v>
      </c>
      <c r="F49" s="168">
        <v>5143</v>
      </c>
      <c r="G49" s="175">
        <f t="shared" si="14"/>
        <v>146567.9</v>
      </c>
      <c r="H49" s="175">
        <f t="shared" si="11"/>
        <v>-15428.2</v>
      </c>
      <c r="I49" s="171">
        <f t="shared" si="12"/>
        <v>20571.2</v>
      </c>
      <c r="J49" s="146">
        <f t="shared" si="13"/>
        <v>133710.79999999999</v>
      </c>
      <c r="K49" s="42"/>
      <c r="L49" s="39"/>
      <c r="M49" s="42"/>
      <c r="N49" s="39"/>
      <c r="O49" s="42"/>
      <c r="P49" s="39"/>
      <c r="Q49" s="42"/>
      <c r="R49" s="39"/>
      <c r="S49" s="42"/>
      <c r="T49" s="39"/>
      <c r="U49" s="42"/>
    </row>
    <row r="50" spans="1:21" x14ac:dyDescent="0.25">
      <c r="A50" s="51"/>
      <c r="B50" s="176"/>
      <c r="C50" s="176"/>
      <c r="D50" s="177"/>
      <c r="E50" s="177">
        <f t="shared" ref="E50:J50" si="15">SUM(E43:E49)</f>
        <v>5879912</v>
      </c>
      <c r="F50" s="160">
        <f t="shared" si="15"/>
        <v>622152</v>
      </c>
      <c r="G50" s="160">
        <f t="shared" si="15"/>
        <v>5150292.7750000004</v>
      </c>
      <c r="H50" s="160">
        <f t="shared" si="15"/>
        <v>-283181.65333333332</v>
      </c>
      <c r="I50" s="178">
        <f t="shared" si="15"/>
        <v>905333.65333333332</v>
      </c>
      <c r="J50" s="178">
        <f t="shared" si="15"/>
        <v>4974578.3466666667</v>
      </c>
    </row>
    <row r="51" spans="1:21" s="40" customFormat="1" x14ac:dyDescent="0.25">
      <c r="A51" s="37"/>
      <c r="B51" s="38"/>
      <c r="C51" s="38"/>
      <c r="D51" s="3"/>
      <c r="E51" s="3"/>
      <c r="F51"/>
      <c r="G51"/>
      <c r="H51"/>
    </row>
    <row r="52" spans="1:21" s="40" customFormat="1" x14ac:dyDescent="0.25">
      <c r="A52" s="12"/>
      <c r="B52" s="11"/>
      <c r="C52" s="11"/>
      <c r="D52" s="3"/>
      <c r="E52" s="3"/>
      <c r="F52"/>
      <c r="G52"/>
      <c r="H52"/>
    </row>
    <row r="53" spans="1:21" s="40" customFormat="1" x14ac:dyDescent="0.25">
      <c r="A53" s="54" t="s">
        <v>55</v>
      </c>
      <c r="B53" s="55"/>
      <c r="C53" s="55"/>
      <c r="D53" s="56"/>
      <c r="E53" s="56">
        <f t="shared" ref="E53:J53" si="16">E28+E50</f>
        <v>49863137</v>
      </c>
      <c r="F53" s="57">
        <f t="shared" si="16"/>
        <v>2505327</v>
      </c>
      <c r="G53" s="57">
        <f t="shared" si="16"/>
        <v>47250342.774999999</v>
      </c>
      <c r="H53" s="57">
        <f t="shared" si="16"/>
        <v>-1142247.3366666667</v>
      </c>
      <c r="I53" s="58">
        <f t="shared" si="16"/>
        <v>3647574.3366666664</v>
      </c>
      <c r="J53" s="58">
        <f t="shared" si="16"/>
        <v>46215562.663333334</v>
      </c>
    </row>
    <row r="58" spans="1:21" s="40" customFormat="1" x14ac:dyDescent="0.25">
      <c r="A58" t="s">
        <v>57</v>
      </c>
      <c r="B58"/>
      <c r="C58"/>
      <c r="D58" s="3"/>
      <c r="E58" s="3"/>
      <c r="F58"/>
      <c r="G58"/>
      <c r="H58"/>
    </row>
    <row r="59" spans="1:21" s="40" customFormat="1" x14ac:dyDescent="0.25">
      <c r="A59"/>
      <c r="B59" t="s">
        <v>59</v>
      </c>
      <c r="C59"/>
      <c r="D59" s="3"/>
      <c r="E59" s="3"/>
      <c r="F59"/>
      <c r="G59"/>
      <c r="H59"/>
    </row>
    <row r="60" spans="1:21" s="40" customFormat="1" x14ac:dyDescent="0.25">
      <c r="A60"/>
      <c r="B60" t="s">
        <v>56</v>
      </c>
      <c r="C60"/>
      <c r="D60" s="3"/>
      <c r="E60" s="3"/>
      <c r="F60"/>
      <c r="G60"/>
      <c r="H60"/>
    </row>
    <row r="62" spans="1:21" s="40" customFormat="1" x14ac:dyDescent="0.25">
      <c r="A62"/>
      <c r="B62" t="s">
        <v>58</v>
      </c>
      <c r="C62"/>
      <c r="D62" s="3"/>
      <c r="E62" s="3"/>
      <c r="F62"/>
      <c r="G62"/>
      <c r="H62"/>
    </row>
  </sheetData>
  <mergeCells count="4">
    <mergeCell ref="B6:C6"/>
    <mergeCell ref="B7:C7"/>
    <mergeCell ref="B8:C8"/>
    <mergeCell ref="B9:C9"/>
  </mergeCells>
  <pageMargins left="0.7" right="0.7" top="0.75" bottom="0.75" header="0.3" footer="0.3"/>
  <pageSetup paperSize="9" scale="66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5"/>
  <sheetViews>
    <sheetView workbookViewId="0">
      <selection activeCell="A10" sqref="A10:B22"/>
    </sheetView>
  </sheetViews>
  <sheetFormatPr defaultRowHeight="15" x14ac:dyDescent="0.25"/>
  <cols>
    <col min="1" max="1" width="27.85546875" customWidth="1"/>
    <col min="2" max="2" width="8.85546875" customWidth="1"/>
    <col min="3" max="3" width="10.28515625" customWidth="1"/>
    <col min="4" max="5" width="8.85546875" customWidth="1"/>
  </cols>
  <sheetData>
    <row r="1" spans="1:7" x14ac:dyDescent="0.25">
      <c r="A1" t="s">
        <v>15</v>
      </c>
    </row>
    <row r="3" spans="1:7" x14ac:dyDescent="0.25">
      <c r="B3" s="213"/>
      <c r="C3" s="213"/>
    </row>
    <row r="8" spans="1:7" x14ac:dyDescent="0.25">
      <c r="A8" t="s">
        <v>40</v>
      </c>
      <c r="B8" s="214" t="s">
        <v>40</v>
      </c>
      <c r="C8" s="215"/>
      <c r="D8" s="214" t="s">
        <v>41</v>
      </c>
      <c r="E8" s="215"/>
      <c r="F8" s="214" t="s">
        <v>42</v>
      </c>
      <c r="G8" s="215"/>
    </row>
    <row r="9" spans="1:7" ht="60" x14ac:dyDescent="0.25">
      <c r="A9" s="1" t="s">
        <v>0</v>
      </c>
      <c r="B9" s="26" t="s">
        <v>14</v>
      </c>
      <c r="C9" s="24" t="s">
        <v>16</v>
      </c>
      <c r="D9" s="26" t="s">
        <v>14</v>
      </c>
      <c r="E9" s="24" t="s">
        <v>16</v>
      </c>
      <c r="F9" s="26" t="s">
        <v>14</v>
      </c>
      <c r="G9" s="24" t="s">
        <v>16</v>
      </c>
    </row>
    <row r="10" spans="1:7" x14ac:dyDescent="0.25">
      <c r="A10" t="s">
        <v>1</v>
      </c>
      <c r="B10" s="29">
        <v>0.3</v>
      </c>
      <c r="C10" s="25">
        <v>100</v>
      </c>
      <c r="D10" s="29">
        <v>0.42099999999999999</v>
      </c>
      <c r="E10" s="25">
        <v>100</v>
      </c>
      <c r="F10" s="29">
        <v>0.49199999999999999</v>
      </c>
      <c r="G10" s="25">
        <v>100</v>
      </c>
    </row>
    <row r="11" spans="1:7" x14ac:dyDescent="0.25">
      <c r="A11" t="s">
        <v>22</v>
      </c>
      <c r="B11" s="29">
        <v>0.19</v>
      </c>
      <c r="C11" s="25">
        <v>50</v>
      </c>
      <c r="D11" s="29">
        <v>0.182</v>
      </c>
      <c r="E11" s="25">
        <v>75</v>
      </c>
      <c r="F11" s="29">
        <v>1.2E-2</v>
      </c>
      <c r="G11" s="25">
        <v>50</v>
      </c>
    </row>
    <row r="12" spans="1:7" x14ac:dyDescent="0.25">
      <c r="A12" t="s">
        <v>3</v>
      </c>
      <c r="B12" s="29">
        <v>0.12</v>
      </c>
      <c r="C12" s="25">
        <v>50</v>
      </c>
      <c r="D12" s="29">
        <v>0.115</v>
      </c>
      <c r="E12" s="25">
        <v>60</v>
      </c>
      <c r="F12" s="29">
        <v>8.0000000000000002E-3</v>
      </c>
      <c r="G12" s="25">
        <v>50</v>
      </c>
    </row>
    <row r="13" spans="1:7" x14ac:dyDescent="0.25">
      <c r="A13" t="s">
        <v>4</v>
      </c>
      <c r="B13" s="29">
        <v>0.08</v>
      </c>
      <c r="C13" s="25">
        <v>40</v>
      </c>
      <c r="D13" s="29">
        <v>5.8999999999999997E-2</v>
      </c>
      <c r="E13" s="25">
        <v>40</v>
      </c>
      <c r="F13" s="29">
        <v>0.2</v>
      </c>
      <c r="G13" s="25">
        <v>40</v>
      </c>
    </row>
    <row r="14" spans="1:7" x14ac:dyDescent="0.25">
      <c r="A14" t="s">
        <v>5</v>
      </c>
      <c r="B14" s="29">
        <v>0</v>
      </c>
      <c r="C14" s="25">
        <v>15</v>
      </c>
      <c r="D14" s="29">
        <v>5.1999999999999998E-2</v>
      </c>
      <c r="E14" s="25">
        <v>15</v>
      </c>
      <c r="F14" s="29">
        <v>0.16500000000000001</v>
      </c>
      <c r="G14" s="25">
        <v>15</v>
      </c>
    </row>
    <row r="15" spans="1:7" x14ac:dyDescent="0.25">
      <c r="A15" t="s">
        <v>6</v>
      </c>
      <c r="B15" s="29">
        <v>0.05</v>
      </c>
      <c r="C15" s="25">
        <v>50</v>
      </c>
      <c r="D15" s="29">
        <v>4.8000000000000001E-2</v>
      </c>
      <c r="E15" s="25">
        <v>50</v>
      </c>
      <c r="F15" s="29">
        <v>3.0000000000000001E-3</v>
      </c>
      <c r="G15" s="25">
        <v>50</v>
      </c>
    </row>
    <row r="16" spans="1:7" x14ac:dyDescent="0.25">
      <c r="A16" t="s">
        <v>7</v>
      </c>
      <c r="B16" s="29">
        <v>0.03</v>
      </c>
      <c r="C16" s="25">
        <v>50</v>
      </c>
      <c r="D16" s="29">
        <v>2.9000000000000001E-2</v>
      </c>
      <c r="E16" s="25">
        <v>50</v>
      </c>
      <c r="F16" s="29">
        <v>2E-3</v>
      </c>
      <c r="G16" s="25">
        <v>50</v>
      </c>
    </row>
    <row r="17" spans="1:7" x14ac:dyDescent="0.25">
      <c r="A17" t="s">
        <v>8</v>
      </c>
      <c r="B17" s="29">
        <v>0.03</v>
      </c>
      <c r="C17" s="25">
        <v>30</v>
      </c>
      <c r="D17" s="29">
        <v>1.0999999999999999E-2</v>
      </c>
      <c r="E17" s="25">
        <v>30</v>
      </c>
      <c r="F17" s="29">
        <v>3.5000000000000003E-2</v>
      </c>
      <c r="G17" s="25">
        <v>30</v>
      </c>
    </row>
    <row r="18" spans="1:7" x14ac:dyDescent="0.25">
      <c r="A18" t="s">
        <v>9</v>
      </c>
      <c r="B18" s="29">
        <v>0.02</v>
      </c>
      <c r="C18" s="25">
        <v>40</v>
      </c>
      <c r="D18" s="29">
        <v>1.4999999999999999E-2</v>
      </c>
      <c r="E18" s="25">
        <v>40</v>
      </c>
      <c r="F18" s="29">
        <v>0.05</v>
      </c>
      <c r="G18" s="25">
        <v>40</v>
      </c>
    </row>
    <row r="19" spans="1:7" x14ac:dyDescent="0.25">
      <c r="A19" t="s">
        <v>10</v>
      </c>
      <c r="B19" s="29">
        <v>0.02</v>
      </c>
      <c r="C19" s="25">
        <v>25</v>
      </c>
      <c r="D19" s="29">
        <v>1E-3</v>
      </c>
      <c r="E19" s="25">
        <v>30</v>
      </c>
      <c r="F19" s="29">
        <v>3.0000000000000001E-3</v>
      </c>
      <c r="G19" s="25">
        <v>25</v>
      </c>
    </row>
    <row r="20" spans="1:7" x14ac:dyDescent="0.25">
      <c r="A20" t="s">
        <v>11</v>
      </c>
      <c r="B20" s="29">
        <v>0.02</v>
      </c>
      <c r="C20" s="25">
        <v>25</v>
      </c>
      <c r="D20" s="29">
        <v>1E-3</v>
      </c>
      <c r="E20" s="25">
        <v>30</v>
      </c>
      <c r="F20" s="29">
        <v>3.0000000000000001E-3</v>
      </c>
      <c r="G20" s="25">
        <v>25</v>
      </c>
    </row>
    <row r="21" spans="1:7" x14ac:dyDescent="0.25">
      <c r="A21" t="s">
        <v>12</v>
      </c>
      <c r="B21" s="29">
        <v>0.01</v>
      </c>
      <c r="C21" s="25">
        <v>15</v>
      </c>
      <c r="D21" s="29">
        <v>7.0000000000000001E-3</v>
      </c>
      <c r="E21" s="25">
        <v>15</v>
      </c>
      <c r="F21" s="29">
        <v>2.4E-2</v>
      </c>
      <c r="G21" s="25">
        <v>15</v>
      </c>
    </row>
    <row r="22" spans="1:7" x14ac:dyDescent="0.25">
      <c r="A22" t="s">
        <v>13</v>
      </c>
      <c r="B22" s="29">
        <f>1-SUM(B10:B21)</f>
        <v>0.12999999999999989</v>
      </c>
      <c r="C22" s="25">
        <v>50</v>
      </c>
      <c r="D22" s="29">
        <f>1-SUM(D10:D21)</f>
        <v>5.8999999999999941E-2</v>
      </c>
      <c r="E22" s="25">
        <v>50</v>
      </c>
      <c r="F22" s="29">
        <f>1-SUM(F10:F21)</f>
        <v>2.9999999999998916E-3</v>
      </c>
      <c r="G22" s="25">
        <v>50</v>
      </c>
    </row>
    <row r="23" spans="1:7" x14ac:dyDescent="0.25">
      <c r="B23" s="30">
        <f>SUM(B10:B22)</f>
        <v>1</v>
      </c>
      <c r="C23" s="25"/>
      <c r="D23" s="30">
        <f>SUM(D10:D22)</f>
        <v>1</v>
      </c>
      <c r="E23" s="25"/>
      <c r="F23" s="27">
        <f>SUM(F10:F22)</f>
        <v>1</v>
      </c>
      <c r="G23" s="25"/>
    </row>
    <row r="25" spans="1:7" x14ac:dyDescent="0.25">
      <c r="B25" s="28"/>
    </row>
  </sheetData>
  <mergeCells count="4">
    <mergeCell ref="B3:C3"/>
    <mergeCell ref="B8:C8"/>
    <mergeCell ref="D8:E8"/>
    <mergeCell ref="F8:G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3.Just. avskrivningsmodell</vt:lpstr>
      <vt:lpstr>4.Just. avskrivningsmodell (2)</vt:lpstr>
      <vt:lpstr>5.Just. avskrivningsmodell (3)</vt:lpstr>
      <vt:lpstr>1.Avskrivningar med kommentarer</vt:lpstr>
      <vt:lpstr>2.Just. avskrivningar</vt:lpstr>
      <vt:lpstr>0.SABO riktvärden</vt:lpstr>
      <vt:lpstr>'1.Avskrivningar med kommentarer'!Print_Area</vt:lpstr>
      <vt:lpstr>'2.Just. avskrivningar'!Print_Area</vt:lpstr>
      <vt:lpstr>'3.Just. avskrivningsmodell'!Print_Area</vt:lpstr>
      <vt:lpstr>'4.Just. avskrivningsmodell (2)'!Print_Area</vt:lpstr>
      <vt:lpstr>'5.Just. avskrivningsmodell (3)'!Print_Area</vt:lpstr>
    </vt:vector>
  </TitlesOfParts>
  <Company>Finnhammars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Mattias Lindquist</dc:creator>
  <cp:lastModifiedBy>Rickard Uddenberg</cp:lastModifiedBy>
  <cp:lastPrinted>2018-12-14T14:03:52Z</cp:lastPrinted>
  <dcterms:created xsi:type="dcterms:W3CDTF">2014-10-26T16:45:10Z</dcterms:created>
  <dcterms:modified xsi:type="dcterms:W3CDTF">2019-04-23T18:57:59Z</dcterms:modified>
</cp:coreProperties>
</file>