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8e7562e21a231/Dokument/"/>
    </mc:Choice>
  </mc:AlternateContent>
  <xr:revisionPtr revIDLastSave="0" documentId="8_{06E35584-EBD9-453A-AC89-0342CE1DF6A7}" xr6:coauthVersionLast="43" xr6:coauthVersionMax="43" xr10:uidLastSave="{00000000-0000-0000-0000-000000000000}"/>
  <bookViews>
    <workbookView xWindow="1275" yWindow="-120" windowWidth="27645" windowHeight="16440" tabRatio="564" activeTab="1" xr2:uid="{424D0682-E1B0-4F5D-81A8-527AD25D1AA9}"/>
  </bookViews>
  <sheets>
    <sheet name="3.Just. avskrivningsmodell" sheetId="12" r:id="rId1"/>
    <sheet name="4.Just. avskrivningsmodell (2)" sheetId="9" r:id="rId2"/>
    <sheet name="5.Just. avskrivningsmodell (3)" sheetId="13" r:id="rId3"/>
    <sheet name="1.Avskrivningar med kommentarer" sheetId="6" r:id="rId4"/>
    <sheet name="2.Just. avskrivningar" sheetId="7" r:id="rId5"/>
    <sheet name="0.SABO riktvärden" sheetId="1" r:id="rId6"/>
  </sheets>
  <definedNames>
    <definedName name="_xlnm.Print_Area" localSheetId="3">'1.Avskrivningar med kommentarer'!$A:$L</definedName>
    <definedName name="_xlnm.Print_Area" localSheetId="4">'2.Just. avskrivningar'!$A:$M</definedName>
    <definedName name="_xlnm.Print_Area" localSheetId="0">'3.Just. avskrivningsmodell'!$A:$L</definedName>
    <definedName name="_xlnm.Print_Area" localSheetId="1">'4.Just. avskrivningsmodell (2)'!$A:$L</definedName>
    <definedName name="_xlnm.Print_Area" localSheetId="2">'5.Just. avskrivningsmodell (3)'!$A:$L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3" l="1"/>
  <c r="E29" i="13"/>
  <c r="E28" i="13"/>
  <c r="E27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11" i="13"/>
  <c r="F39" i="13"/>
  <c r="E39" i="13"/>
  <c r="H38" i="13"/>
  <c r="I38" i="13" s="1"/>
  <c r="J38" i="13" s="1"/>
  <c r="D38" i="13"/>
  <c r="G38" i="13" s="1"/>
  <c r="H37" i="13"/>
  <c r="D37" i="13"/>
  <c r="H36" i="13"/>
  <c r="D36" i="13"/>
  <c r="H35" i="13"/>
  <c r="I35" i="13" s="1"/>
  <c r="J35" i="13" s="1"/>
  <c r="D35" i="13"/>
  <c r="H34" i="13"/>
  <c r="I34" i="13" s="1"/>
  <c r="J34" i="13" s="1"/>
  <c r="D34" i="13"/>
  <c r="H33" i="13"/>
  <c r="I33" i="13" s="1"/>
  <c r="J33" i="13" s="1"/>
  <c r="D33" i="13"/>
  <c r="H32" i="13"/>
  <c r="D32" i="13"/>
  <c r="D29" i="13"/>
  <c r="B29" i="13"/>
  <c r="D28" i="13"/>
  <c r="C28" i="13"/>
  <c r="B28" i="13"/>
  <c r="Q27" i="13"/>
  <c r="C27" i="13"/>
  <c r="P23" i="13" s="1"/>
  <c r="F26" i="13"/>
  <c r="F25" i="13"/>
  <c r="P24" i="13"/>
  <c r="F24" i="13"/>
  <c r="F23" i="13"/>
  <c r="F22" i="13"/>
  <c r="P21" i="13"/>
  <c r="F21" i="13"/>
  <c r="F20" i="13"/>
  <c r="P19" i="13"/>
  <c r="F19" i="13"/>
  <c r="F18" i="13"/>
  <c r="P17" i="13"/>
  <c r="F17" i="13"/>
  <c r="F16" i="13"/>
  <c r="P15" i="13"/>
  <c r="F15" i="13"/>
  <c r="F14" i="13"/>
  <c r="P13" i="13"/>
  <c r="F13" i="13"/>
  <c r="F12" i="13"/>
  <c r="P11" i="13"/>
  <c r="F11" i="13"/>
  <c r="D29" i="12"/>
  <c r="B29" i="12"/>
  <c r="D29" i="9"/>
  <c r="D28" i="7"/>
  <c r="E23" i="9"/>
  <c r="P27" i="9"/>
  <c r="B29" i="9"/>
  <c r="F39" i="12"/>
  <c r="E39" i="12"/>
  <c r="H38" i="12"/>
  <c r="I38" i="12" s="1"/>
  <c r="J38" i="12" s="1"/>
  <c r="G38" i="12"/>
  <c r="D38" i="12"/>
  <c r="H37" i="12"/>
  <c r="D37" i="12"/>
  <c r="I36" i="12"/>
  <c r="J36" i="12" s="1"/>
  <c r="H36" i="12"/>
  <c r="G36" i="12" s="1"/>
  <c r="D36" i="12"/>
  <c r="H35" i="12"/>
  <c r="I35" i="12" s="1"/>
  <c r="J35" i="12" s="1"/>
  <c r="D35" i="12"/>
  <c r="H34" i="12"/>
  <c r="I34" i="12" s="1"/>
  <c r="J34" i="12" s="1"/>
  <c r="D34" i="12"/>
  <c r="I33" i="12"/>
  <c r="J33" i="12" s="1"/>
  <c r="H33" i="12"/>
  <c r="D33" i="12"/>
  <c r="I32" i="12"/>
  <c r="J32" i="12" s="1"/>
  <c r="H32" i="12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9" i="12" s="1"/>
  <c r="F39" i="9"/>
  <c r="E39" i="9"/>
  <c r="H38" i="9"/>
  <c r="I38" i="9" s="1"/>
  <c r="J38" i="9" s="1"/>
  <c r="G38" i="9"/>
  <c r="D38" i="9"/>
  <c r="H37" i="9"/>
  <c r="D37" i="9"/>
  <c r="I36" i="9"/>
  <c r="J36" i="9" s="1"/>
  <c r="H36" i="9"/>
  <c r="G36" i="9" s="1"/>
  <c r="D36" i="9"/>
  <c r="J35" i="9"/>
  <c r="I35" i="9"/>
  <c r="H35" i="9"/>
  <c r="D35" i="9"/>
  <c r="J34" i="9"/>
  <c r="I34" i="9"/>
  <c r="H34" i="9"/>
  <c r="D34" i="9"/>
  <c r="H33" i="9"/>
  <c r="I33" i="9" s="1"/>
  <c r="J33" i="9" s="1"/>
  <c r="D33" i="9"/>
  <c r="H32" i="9"/>
  <c r="D32" i="9"/>
  <c r="D28" i="9"/>
  <c r="C28" i="9"/>
  <c r="B28" i="9"/>
  <c r="C27" i="9"/>
  <c r="O15" i="9" s="1"/>
  <c r="E26" i="9"/>
  <c r="E25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F50" i="7"/>
  <c r="E50" i="7"/>
  <c r="H49" i="7"/>
  <c r="I49" i="7" s="1"/>
  <c r="J49" i="7" s="1"/>
  <c r="D49" i="7"/>
  <c r="H48" i="7"/>
  <c r="G48" i="7" s="1"/>
  <c r="D48" i="7"/>
  <c r="H47" i="7"/>
  <c r="D47" i="7"/>
  <c r="H46" i="7"/>
  <c r="I46" i="7" s="1"/>
  <c r="J46" i="7" s="1"/>
  <c r="D46" i="7"/>
  <c r="H45" i="7"/>
  <c r="I45" i="7" s="1"/>
  <c r="J45" i="7" s="1"/>
  <c r="D45" i="7"/>
  <c r="H44" i="7"/>
  <c r="I44" i="7" s="1"/>
  <c r="J44" i="7" s="1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F27" i="7"/>
  <c r="E27" i="7"/>
  <c r="F26" i="7"/>
  <c r="E26" i="7"/>
  <c r="H26" i="7" s="1"/>
  <c r="F25" i="7"/>
  <c r="E25" i="7"/>
  <c r="H25" i="7" s="1"/>
  <c r="F24" i="7"/>
  <c r="E24" i="7"/>
  <c r="H24" i="7" s="1"/>
  <c r="I24" i="7" s="1"/>
  <c r="F23" i="7"/>
  <c r="E23" i="7"/>
  <c r="H23" i="7" s="1"/>
  <c r="F22" i="7"/>
  <c r="E22" i="7"/>
  <c r="H22" i="7" s="1"/>
  <c r="F21" i="7"/>
  <c r="E21" i="7"/>
  <c r="H21" i="7" s="1"/>
  <c r="F20" i="7"/>
  <c r="E20" i="7"/>
  <c r="H20" i="7" s="1"/>
  <c r="F19" i="7"/>
  <c r="E19" i="7"/>
  <c r="H19" i="7" s="1"/>
  <c r="F18" i="7"/>
  <c r="E18" i="7"/>
  <c r="H18" i="7" s="1"/>
  <c r="F17" i="7"/>
  <c r="E17" i="7"/>
  <c r="H17" i="7" s="1"/>
  <c r="F16" i="7"/>
  <c r="E16" i="7"/>
  <c r="G16" i="7" s="1"/>
  <c r="F15" i="7"/>
  <c r="E15" i="7"/>
  <c r="H15" i="7" s="1"/>
  <c r="F14" i="7"/>
  <c r="E14" i="7"/>
  <c r="G3" i="7"/>
  <c r="B8" i="7" s="1"/>
  <c r="G36" i="13" l="1"/>
  <c r="P12" i="13"/>
  <c r="P14" i="13"/>
  <c r="P16" i="13"/>
  <c r="P18" i="13"/>
  <c r="P20" i="13"/>
  <c r="P22" i="13"/>
  <c r="F28" i="13"/>
  <c r="P25" i="13"/>
  <c r="I36" i="13"/>
  <c r="J36" i="13" s="1"/>
  <c r="H39" i="13"/>
  <c r="G11" i="13"/>
  <c r="G24" i="13"/>
  <c r="G26" i="13"/>
  <c r="G37" i="13"/>
  <c r="G39" i="13" s="1"/>
  <c r="G12" i="13"/>
  <c r="F29" i="13"/>
  <c r="G16" i="13"/>
  <c r="G18" i="13"/>
  <c r="G20" i="13"/>
  <c r="G22" i="13"/>
  <c r="G23" i="13"/>
  <c r="F27" i="13"/>
  <c r="G14" i="13"/>
  <c r="I37" i="13"/>
  <c r="J37" i="13" s="1"/>
  <c r="G19" i="13"/>
  <c r="G13" i="13"/>
  <c r="G17" i="13"/>
  <c r="G21" i="13"/>
  <c r="G25" i="13"/>
  <c r="P26" i="13"/>
  <c r="P27" i="13" s="1"/>
  <c r="G15" i="13"/>
  <c r="I32" i="13"/>
  <c r="E29" i="9"/>
  <c r="H39" i="12"/>
  <c r="G23" i="7"/>
  <c r="I25" i="7"/>
  <c r="G27" i="7"/>
  <c r="I21" i="7"/>
  <c r="J21" i="7" s="1"/>
  <c r="G24" i="7"/>
  <c r="G47" i="7"/>
  <c r="I19" i="7"/>
  <c r="J19" i="7" s="1"/>
  <c r="G19" i="7"/>
  <c r="I20" i="7"/>
  <c r="E28" i="7"/>
  <c r="G15" i="7"/>
  <c r="H16" i="7"/>
  <c r="I47" i="7"/>
  <c r="J47" i="7" s="1"/>
  <c r="G49" i="7"/>
  <c r="H27" i="7"/>
  <c r="I27" i="7" s="1"/>
  <c r="J27" i="7" s="1"/>
  <c r="I22" i="7"/>
  <c r="J22" i="7" s="1"/>
  <c r="I17" i="7"/>
  <c r="G20" i="7"/>
  <c r="I23" i="7"/>
  <c r="J23" i="7" s="1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3" i="9"/>
  <c r="O19" i="9"/>
  <c r="F15" i="12"/>
  <c r="F12" i="12"/>
  <c r="F16" i="12"/>
  <c r="F20" i="12"/>
  <c r="F24" i="12"/>
  <c r="G37" i="12"/>
  <c r="F13" i="12"/>
  <c r="F17" i="12"/>
  <c r="F21" i="12"/>
  <c r="F25" i="12"/>
  <c r="G39" i="12"/>
  <c r="F14" i="12"/>
  <c r="F18" i="12"/>
  <c r="E28" i="12"/>
  <c r="I37" i="12"/>
  <c r="F22" i="12"/>
  <c r="F26" i="12"/>
  <c r="F11" i="12"/>
  <c r="F19" i="12"/>
  <c r="F23" i="12"/>
  <c r="G37" i="9"/>
  <c r="H39" i="9"/>
  <c r="F13" i="9"/>
  <c r="F12" i="9"/>
  <c r="F14" i="9"/>
  <c r="F18" i="9"/>
  <c r="F22" i="9"/>
  <c r="F26" i="9"/>
  <c r="F15" i="9"/>
  <c r="F19" i="9"/>
  <c r="F23" i="9"/>
  <c r="F17" i="9"/>
  <c r="F20" i="9"/>
  <c r="F24" i="9"/>
  <c r="G39" i="9"/>
  <c r="F21" i="9"/>
  <c r="F25" i="9"/>
  <c r="F16" i="9"/>
  <c r="I37" i="9"/>
  <c r="J37" i="9" s="1"/>
  <c r="F11" i="9"/>
  <c r="E27" i="9"/>
  <c r="E28" i="9"/>
  <c r="I32" i="9"/>
  <c r="I18" i="7"/>
  <c r="J18" i="7" s="1"/>
  <c r="I15" i="7"/>
  <c r="J15" i="7" s="1"/>
  <c r="E53" i="7"/>
  <c r="I26" i="7"/>
  <c r="J26" i="7" s="1"/>
  <c r="D25" i="7"/>
  <c r="L25" i="7" s="1"/>
  <c r="D21" i="7"/>
  <c r="L21" i="7" s="1"/>
  <c r="D17" i="7"/>
  <c r="L17" i="7" s="1"/>
  <c r="D27" i="7"/>
  <c r="D19" i="7"/>
  <c r="L19" i="7" s="1"/>
  <c r="D26" i="7"/>
  <c r="L26" i="7" s="1"/>
  <c r="D22" i="7"/>
  <c r="L22" i="7" s="1"/>
  <c r="D18" i="7"/>
  <c r="L18" i="7" s="1"/>
  <c r="D14" i="7"/>
  <c r="D23" i="7"/>
  <c r="L23" i="7" s="1"/>
  <c r="D15" i="7"/>
  <c r="L15" i="7" s="1"/>
  <c r="D24" i="7"/>
  <c r="L24" i="7" s="1"/>
  <c r="D20" i="7"/>
  <c r="L20" i="7" s="1"/>
  <c r="D16" i="7"/>
  <c r="G50" i="7"/>
  <c r="F28" i="7"/>
  <c r="F53" i="7" s="1"/>
  <c r="G14" i="7"/>
  <c r="J17" i="7"/>
  <c r="J25" i="7"/>
  <c r="I48" i="7"/>
  <c r="J48" i="7" s="1"/>
  <c r="H14" i="7"/>
  <c r="G17" i="7"/>
  <c r="J20" i="7"/>
  <c r="G21" i="7"/>
  <c r="J24" i="7"/>
  <c r="G25" i="7"/>
  <c r="G18" i="7"/>
  <c r="G22" i="7"/>
  <c r="G26" i="7"/>
  <c r="I43" i="7"/>
  <c r="E18" i="6"/>
  <c r="H18" i="6" s="1"/>
  <c r="F18" i="6"/>
  <c r="I39" i="13" l="1"/>
  <c r="J32" i="13"/>
  <c r="J39" i="13" s="1"/>
  <c r="G27" i="13"/>
  <c r="H15" i="13" s="1"/>
  <c r="G28" i="13"/>
  <c r="H28" i="7"/>
  <c r="H53" i="7" s="1"/>
  <c r="L14" i="7"/>
  <c r="L27" i="7"/>
  <c r="I16" i="7"/>
  <c r="J16" i="7" s="1"/>
  <c r="L16" i="7"/>
  <c r="O26" i="9"/>
  <c r="O27" i="9" s="1"/>
  <c r="J37" i="12"/>
  <c r="J39" i="12" s="1"/>
  <c r="I39" i="12"/>
  <c r="F28" i="12"/>
  <c r="F27" i="12"/>
  <c r="G22" i="12" s="1"/>
  <c r="F28" i="9"/>
  <c r="F27" i="9"/>
  <c r="J32" i="9"/>
  <c r="J39" i="9" s="1"/>
  <c r="I39" i="9"/>
  <c r="I14" i="7"/>
  <c r="G28" i="7"/>
  <c r="G53" i="7" s="1"/>
  <c r="I50" i="7"/>
  <c r="J43" i="7"/>
  <c r="J50" i="7" s="1"/>
  <c r="C28" i="7"/>
  <c r="G18" i="6"/>
  <c r="I18" i="6"/>
  <c r="J18" i="6" s="1"/>
  <c r="H25" i="13" l="1"/>
  <c r="H19" i="13"/>
  <c r="J19" i="13" s="1"/>
  <c r="H13" i="13"/>
  <c r="I13" i="13" s="1"/>
  <c r="H17" i="13"/>
  <c r="J17" i="13" s="1"/>
  <c r="H23" i="13"/>
  <c r="I23" i="13" s="1"/>
  <c r="J15" i="13"/>
  <c r="I15" i="13"/>
  <c r="I19" i="13"/>
  <c r="J25" i="13"/>
  <c r="I25" i="13"/>
  <c r="H12" i="13"/>
  <c r="H22" i="13"/>
  <c r="H11" i="13"/>
  <c r="H24" i="13"/>
  <c r="H20" i="13"/>
  <c r="H16" i="13"/>
  <c r="H18" i="13"/>
  <c r="H26" i="13"/>
  <c r="H14" i="13"/>
  <c r="H21" i="13"/>
  <c r="L28" i="7"/>
  <c r="I22" i="12"/>
  <c r="H22" i="12"/>
  <c r="G26" i="12"/>
  <c r="G14" i="12"/>
  <c r="G18" i="12"/>
  <c r="G11" i="12"/>
  <c r="G16" i="12"/>
  <c r="G13" i="12"/>
  <c r="G25" i="12"/>
  <c r="G20" i="12"/>
  <c r="G15" i="12"/>
  <c r="G12" i="12"/>
  <c r="G24" i="12"/>
  <c r="G17" i="12"/>
  <c r="G21" i="12"/>
  <c r="G23" i="12"/>
  <c r="G19" i="12"/>
  <c r="G12" i="9"/>
  <c r="G13" i="9"/>
  <c r="G14" i="9"/>
  <c r="G23" i="9"/>
  <c r="G18" i="9"/>
  <c r="G15" i="9"/>
  <c r="G17" i="9"/>
  <c r="G24" i="9"/>
  <c r="G22" i="9"/>
  <c r="G19" i="9"/>
  <c r="G20" i="9"/>
  <c r="G26" i="9"/>
  <c r="G21" i="9"/>
  <c r="G25" i="9"/>
  <c r="G11" i="9"/>
  <c r="G16" i="9"/>
  <c r="I28" i="7"/>
  <c r="I53" i="7" s="1"/>
  <c r="J14" i="7"/>
  <c r="J28" i="7" s="1"/>
  <c r="F50" i="6"/>
  <c r="E50" i="6"/>
  <c r="H49" i="6"/>
  <c r="I49" i="6" s="1"/>
  <c r="J49" i="6" s="1"/>
  <c r="D49" i="6"/>
  <c r="H48" i="6"/>
  <c r="D48" i="6"/>
  <c r="H47" i="6"/>
  <c r="D47" i="6"/>
  <c r="H46" i="6"/>
  <c r="I46" i="6" s="1"/>
  <c r="J46" i="6" s="1"/>
  <c r="D46" i="6"/>
  <c r="H45" i="6"/>
  <c r="I45" i="6" s="1"/>
  <c r="J45" i="6" s="1"/>
  <c r="D45" i="6"/>
  <c r="H44" i="6"/>
  <c r="I44" i="6" s="1"/>
  <c r="J44" i="6" s="1"/>
  <c r="D44" i="6"/>
  <c r="H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 s="1"/>
  <c r="F26" i="6"/>
  <c r="E26" i="6"/>
  <c r="H26" i="6" s="1"/>
  <c r="F25" i="6"/>
  <c r="E25" i="6"/>
  <c r="H25" i="6" s="1"/>
  <c r="F24" i="6"/>
  <c r="E24" i="6"/>
  <c r="H24" i="6" s="1"/>
  <c r="F23" i="6"/>
  <c r="E23" i="6"/>
  <c r="H23" i="6" s="1"/>
  <c r="F22" i="6"/>
  <c r="E22" i="6"/>
  <c r="H22" i="6" s="1"/>
  <c r="F21" i="6"/>
  <c r="E21" i="6"/>
  <c r="H21" i="6" s="1"/>
  <c r="F20" i="6"/>
  <c r="E20" i="6"/>
  <c r="H20" i="6" s="1"/>
  <c r="F19" i="6"/>
  <c r="E19" i="6"/>
  <c r="H19" i="6" s="1"/>
  <c r="F17" i="6"/>
  <c r="E17" i="6"/>
  <c r="F16" i="6"/>
  <c r="E16" i="6"/>
  <c r="H16" i="6" s="1"/>
  <c r="F15" i="6"/>
  <c r="E15" i="6"/>
  <c r="H15" i="6" s="1"/>
  <c r="F14" i="6"/>
  <c r="E14" i="6"/>
  <c r="G4" i="6"/>
  <c r="B8" i="6" s="1"/>
  <c r="D18" i="6" s="1"/>
  <c r="L18" i="6" s="1"/>
  <c r="I17" i="13" l="1"/>
  <c r="J13" i="13"/>
  <c r="J23" i="13"/>
  <c r="K23" i="13" s="1"/>
  <c r="O23" i="13"/>
  <c r="I26" i="13"/>
  <c r="J26" i="13"/>
  <c r="K19" i="13"/>
  <c r="O19" i="13"/>
  <c r="I18" i="13"/>
  <c r="J18" i="13"/>
  <c r="J11" i="13"/>
  <c r="H27" i="13"/>
  <c r="I11" i="13"/>
  <c r="H28" i="13"/>
  <c r="O13" i="13"/>
  <c r="K13" i="13"/>
  <c r="N13" i="13" s="1"/>
  <c r="M13" i="13"/>
  <c r="I21" i="13"/>
  <c r="J21" i="13"/>
  <c r="J16" i="13"/>
  <c r="I16" i="13"/>
  <c r="I22" i="13"/>
  <c r="J22" i="13"/>
  <c r="O25" i="13"/>
  <c r="K25" i="13"/>
  <c r="O15" i="13"/>
  <c r="K15" i="13"/>
  <c r="J24" i="13"/>
  <c r="I24" i="13"/>
  <c r="I14" i="13"/>
  <c r="J14" i="13"/>
  <c r="J20" i="13"/>
  <c r="I20" i="13"/>
  <c r="J12" i="13"/>
  <c r="I12" i="13"/>
  <c r="O17" i="13"/>
  <c r="K17" i="13"/>
  <c r="M15" i="13"/>
  <c r="H50" i="6"/>
  <c r="G47" i="6"/>
  <c r="G17" i="6"/>
  <c r="I23" i="12"/>
  <c r="H23" i="12"/>
  <c r="I12" i="12"/>
  <c r="H12" i="12"/>
  <c r="H13" i="12"/>
  <c r="I13" i="12"/>
  <c r="I14" i="12"/>
  <c r="H14" i="12"/>
  <c r="H21" i="12"/>
  <c r="I21" i="12"/>
  <c r="H15" i="12"/>
  <c r="I15" i="12"/>
  <c r="I16" i="12"/>
  <c r="H16" i="12"/>
  <c r="I26" i="12"/>
  <c r="H26" i="12"/>
  <c r="H17" i="12"/>
  <c r="I17" i="12"/>
  <c r="I20" i="12"/>
  <c r="H20" i="12"/>
  <c r="G28" i="12"/>
  <c r="H11" i="12"/>
  <c r="I11" i="12"/>
  <c r="G27" i="12"/>
  <c r="J22" i="12"/>
  <c r="K22" i="12"/>
  <c r="N22" i="12" s="1"/>
  <c r="H19" i="12"/>
  <c r="I19" i="12"/>
  <c r="I24" i="12"/>
  <c r="H24" i="12"/>
  <c r="H25" i="12"/>
  <c r="I25" i="12"/>
  <c r="I18" i="12"/>
  <c r="H18" i="12"/>
  <c r="E28" i="6"/>
  <c r="G16" i="6"/>
  <c r="G49" i="6"/>
  <c r="I24" i="6"/>
  <c r="J24" i="6" s="1"/>
  <c r="I20" i="6"/>
  <c r="J20" i="6" s="1"/>
  <c r="F28" i="6"/>
  <c r="F53" i="6" s="1"/>
  <c r="I19" i="6"/>
  <c r="J19" i="6" s="1"/>
  <c r="G20" i="6"/>
  <c r="G23" i="6"/>
  <c r="G24" i="6"/>
  <c r="G27" i="6"/>
  <c r="I16" i="6"/>
  <c r="J16" i="6" s="1"/>
  <c r="I22" i="6"/>
  <c r="J22" i="6" s="1"/>
  <c r="I26" i="6"/>
  <c r="J26" i="6" s="1"/>
  <c r="I43" i="6"/>
  <c r="J43" i="6" s="1"/>
  <c r="I47" i="6"/>
  <c r="J47" i="6" s="1"/>
  <c r="I15" i="6"/>
  <c r="J15" i="6" s="1"/>
  <c r="H17" i="6"/>
  <c r="I21" i="6"/>
  <c r="J21" i="6" s="1"/>
  <c r="I25" i="6"/>
  <c r="I23" i="6"/>
  <c r="J23" i="6" s="1"/>
  <c r="I27" i="6"/>
  <c r="J27" i="6" s="1"/>
  <c r="G48" i="6"/>
  <c r="H22" i="9"/>
  <c r="K22" i="9" s="1"/>
  <c r="N22" i="9" s="1"/>
  <c r="I22" i="9"/>
  <c r="H26" i="9"/>
  <c r="K26" i="9" s="1"/>
  <c r="N26" i="9" s="1"/>
  <c r="I26" i="9"/>
  <c r="H23" i="9"/>
  <c r="K23" i="9" s="1"/>
  <c r="N23" i="9" s="1"/>
  <c r="I23" i="9"/>
  <c r="G27" i="9"/>
  <c r="I11" i="9"/>
  <c r="G28" i="9"/>
  <c r="H11" i="9"/>
  <c r="K11" i="9" s="1"/>
  <c r="N11" i="9" s="1"/>
  <c r="I20" i="9"/>
  <c r="H20" i="9"/>
  <c r="K20" i="9" s="1"/>
  <c r="N20" i="9" s="1"/>
  <c r="I17" i="9"/>
  <c r="H17" i="9"/>
  <c r="K17" i="9" s="1"/>
  <c r="N17" i="9" s="1"/>
  <c r="I14" i="9"/>
  <c r="H14" i="9"/>
  <c r="K14" i="9" s="1"/>
  <c r="N14" i="9" s="1"/>
  <c r="I21" i="9"/>
  <c r="H21" i="9"/>
  <c r="K21" i="9" s="1"/>
  <c r="N21" i="9" s="1"/>
  <c r="H16" i="9"/>
  <c r="K16" i="9" s="1"/>
  <c r="N16" i="9" s="1"/>
  <c r="I16" i="9"/>
  <c r="I24" i="9"/>
  <c r="H24" i="9"/>
  <c r="K24" i="9" s="1"/>
  <c r="N24" i="9" s="1"/>
  <c r="I25" i="9"/>
  <c r="H25" i="9"/>
  <c r="K25" i="9" s="1"/>
  <c r="N25" i="9" s="1"/>
  <c r="H19" i="9"/>
  <c r="K19" i="9" s="1"/>
  <c r="N19" i="9" s="1"/>
  <c r="I19" i="9"/>
  <c r="I15" i="9"/>
  <c r="H15" i="9"/>
  <c r="K15" i="9" s="1"/>
  <c r="N15" i="9" s="1"/>
  <c r="I13" i="9"/>
  <c r="H13" i="9"/>
  <c r="K13" i="9" s="1"/>
  <c r="N13" i="9" s="1"/>
  <c r="H18" i="9"/>
  <c r="K18" i="9" s="1"/>
  <c r="N18" i="9" s="1"/>
  <c r="I18" i="9"/>
  <c r="I12" i="9"/>
  <c r="H12" i="9"/>
  <c r="K12" i="9" s="1"/>
  <c r="N12" i="9" s="1"/>
  <c r="J53" i="7"/>
  <c r="E53" i="6"/>
  <c r="D25" i="6"/>
  <c r="L25" i="6" s="1"/>
  <c r="D21" i="6"/>
  <c r="L21" i="6" s="1"/>
  <c r="D26" i="6"/>
  <c r="L26" i="6" s="1"/>
  <c r="D22" i="6"/>
  <c r="L22" i="6" s="1"/>
  <c r="D14" i="6"/>
  <c r="D15" i="6"/>
  <c r="L15" i="6" s="1"/>
  <c r="D27" i="6"/>
  <c r="L27" i="6" s="1"/>
  <c r="D23" i="6"/>
  <c r="L23" i="6" s="1"/>
  <c r="D19" i="6"/>
  <c r="L19" i="6" s="1"/>
  <c r="D24" i="6"/>
  <c r="L24" i="6" s="1"/>
  <c r="D20" i="6"/>
  <c r="L20" i="6" s="1"/>
  <c r="D16" i="6"/>
  <c r="L16" i="6" s="1"/>
  <c r="D17" i="6"/>
  <c r="G14" i="6"/>
  <c r="G22" i="6"/>
  <c r="J25" i="6"/>
  <c r="G26" i="6"/>
  <c r="I48" i="6"/>
  <c r="J48" i="6" s="1"/>
  <c r="G15" i="6"/>
  <c r="G19" i="6"/>
  <c r="H14" i="6"/>
  <c r="G21" i="6"/>
  <c r="G25" i="6"/>
  <c r="M23" i="13" l="1"/>
  <c r="N15" i="13"/>
  <c r="M19" i="13"/>
  <c r="N17" i="13"/>
  <c r="K12" i="13"/>
  <c r="O12" i="13"/>
  <c r="O14" i="13"/>
  <c r="K14" i="13"/>
  <c r="I27" i="13"/>
  <c r="E42" i="13" s="1"/>
  <c r="K11" i="13"/>
  <c r="M11" i="13"/>
  <c r="O18" i="13"/>
  <c r="K18" i="13"/>
  <c r="O26" i="13"/>
  <c r="K26" i="13"/>
  <c r="N26" i="13" s="1"/>
  <c r="K20" i="13"/>
  <c r="O20" i="13"/>
  <c r="K24" i="13"/>
  <c r="O24" i="13"/>
  <c r="M17" i="13"/>
  <c r="O22" i="13"/>
  <c r="K22" i="13"/>
  <c r="O21" i="13"/>
  <c r="K21" i="13"/>
  <c r="M25" i="13"/>
  <c r="N25" i="13"/>
  <c r="K16" i="13"/>
  <c r="O16" i="13"/>
  <c r="J27" i="13"/>
  <c r="F42" i="13" s="1"/>
  <c r="N19" i="13"/>
  <c r="N23" i="13"/>
  <c r="L16" i="9"/>
  <c r="L22" i="12"/>
  <c r="K20" i="12"/>
  <c r="N20" i="12" s="1"/>
  <c r="J20" i="12"/>
  <c r="J26" i="12"/>
  <c r="K26" i="12"/>
  <c r="N26" i="12" s="1"/>
  <c r="K14" i="12"/>
  <c r="N14" i="12" s="1"/>
  <c r="J14" i="12"/>
  <c r="K12" i="12"/>
  <c r="N12" i="12" s="1"/>
  <c r="J12" i="12"/>
  <c r="K25" i="12"/>
  <c r="N25" i="12" s="1"/>
  <c r="J25" i="12"/>
  <c r="J19" i="12"/>
  <c r="K19" i="12"/>
  <c r="N19" i="12" s="1"/>
  <c r="I27" i="12"/>
  <c r="F42" i="12" s="1"/>
  <c r="L26" i="12"/>
  <c r="J15" i="12"/>
  <c r="K15" i="12"/>
  <c r="N15" i="12" s="1"/>
  <c r="K18" i="12"/>
  <c r="N18" i="12" s="1"/>
  <c r="J18" i="12"/>
  <c r="K24" i="12"/>
  <c r="N24" i="12" s="1"/>
  <c r="J24" i="12"/>
  <c r="J11" i="12"/>
  <c r="H27" i="12"/>
  <c r="E42" i="12" s="1"/>
  <c r="K11" i="12"/>
  <c r="N11" i="12" s="1"/>
  <c r="K16" i="12"/>
  <c r="N16" i="12" s="1"/>
  <c r="J16" i="12"/>
  <c r="J23" i="12"/>
  <c r="K23" i="12"/>
  <c r="N23" i="12" s="1"/>
  <c r="M22" i="12"/>
  <c r="J17" i="12"/>
  <c r="K17" i="12"/>
  <c r="N17" i="12" s="1"/>
  <c r="K21" i="12"/>
  <c r="N21" i="12" s="1"/>
  <c r="J21" i="12"/>
  <c r="K13" i="12"/>
  <c r="N13" i="12" s="1"/>
  <c r="J13" i="12"/>
  <c r="L15" i="9"/>
  <c r="L14" i="9"/>
  <c r="L13" i="9"/>
  <c r="L14" i="6"/>
  <c r="G50" i="6"/>
  <c r="N27" i="9"/>
  <c r="J50" i="6"/>
  <c r="I17" i="6"/>
  <c r="J17" i="6" s="1"/>
  <c r="L17" i="6"/>
  <c r="J25" i="9"/>
  <c r="M25" i="9" s="1"/>
  <c r="L25" i="9"/>
  <c r="J14" i="9"/>
  <c r="M14" i="9" s="1"/>
  <c r="L18" i="9"/>
  <c r="J18" i="9"/>
  <c r="M18" i="9" s="1"/>
  <c r="J16" i="9"/>
  <c r="M16" i="9" s="1"/>
  <c r="L26" i="9"/>
  <c r="J26" i="9"/>
  <c r="M26" i="9" s="1"/>
  <c r="J12" i="9"/>
  <c r="M12" i="9" s="1"/>
  <c r="L12" i="9"/>
  <c r="J13" i="9"/>
  <c r="M13" i="9" s="1"/>
  <c r="J24" i="9"/>
  <c r="M24" i="9" s="1"/>
  <c r="L24" i="9"/>
  <c r="J21" i="9"/>
  <c r="M21" i="9" s="1"/>
  <c r="L21" i="9"/>
  <c r="J17" i="9"/>
  <c r="M17" i="9" s="1"/>
  <c r="L17" i="9"/>
  <c r="J11" i="9"/>
  <c r="M11" i="9" s="1"/>
  <c r="H27" i="9"/>
  <c r="E42" i="9" s="1"/>
  <c r="J15" i="9"/>
  <c r="M15" i="9" s="1"/>
  <c r="J20" i="9"/>
  <c r="M20" i="9" s="1"/>
  <c r="L20" i="9"/>
  <c r="I27" i="9"/>
  <c r="F42" i="9" s="1"/>
  <c r="L19" i="9"/>
  <c r="J19" i="9"/>
  <c r="M19" i="9" s="1"/>
  <c r="L23" i="9"/>
  <c r="J23" i="9"/>
  <c r="M23" i="9" s="1"/>
  <c r="L22" i="9"/>
  <c r="J22" i="9"/>
  <c r="M22" i="9" s="1"/>
  <c r="G28" i="6"/>
  <c r="G53" i="6" s="1"/>
  <c r="H28" i="6"/>
  <c r="I14" i="6"/>
  <c r="I50" i="6"/>
  <c r="N18" i="13" l="1"/>
  <c r="M24" i="13"/>
  <c r="N16" i="13"/>
  <c r="M16" i="13"/>
  <c r="N21" i="13"/>
  <c r="N20" i="13"/>
  <c r="M21" i="13"/>
  <c r="M12" i="13"/>
  <c r="M14" i="13"/>
  <c r="L27" i="13"/>
  <c r="H42" i="13" s="1"/>
  <c r="O11" i="13"/>
  <c r="O27" i="13" s="1"/>
  <c r="M22" i="13"/>
  <c r="M26" i="13"/>
  <c r="M20" i="13"/>
  <c r="N22" i="13"/>
  <c r="N24" i="13"/>
  <c r="N11" i="13"/>
  <c r="K27" i="13"/>
  <c r="G42" i="13" s="1"/>
  <c r="N14" i="13"/>
  <c r="M18" i="13"/>
  <c r="N12" i="13"/>
  <c r="N27" i="12"/>
  <c r="L28" i="6"/>
  <c r="L20" i="12"/>
  <c r="M20" i="12"/>
  <c r="L23" i="12"/>
  <c r="L24" i="12"/>
  <c r="M24" i="12"/>
  <c r="L12" i="12"/>
  <c r="M17" i="12"/>
  <c r="M23" i="12"/>
  <c r="M15" i="12"/>
  <c r="M12" i="12"/>
  <c r="M11" i="12"/>
  <c r="J27" i="12"/>
  <c r="G42" i="12" s="1"/>
  <c r="M13" i="12"/>
  <c r="L16" i="12"/>
  <c r="L13" i="12"/>
  <c r="L17" i="12"/>
  <c r="L15" i="12"/>
  <c r="L18" i="12"/>
  <c r="L21" i="12"/>
  <c r="K27" i="12"/>
  <c r="H42" i="12" s="1"/>
  <c r="L14" i="12"/>
  <c r="M19" i="12"/>
  <c r="L19" i="12"/>
  <c r="M21" i="12"/>
  <c r="M16" i="12"/>
  <c r="M18" i="12"/>
  <c r="L11" i="12"/>
  <c r="M25" i="12"/>
  <c r="M14" i="12"/>
  <c r="M26" i="12"/>
  <c r="L25" i="12"/>
  <c r="K27" i="9"/>
  <c r="H42" i="9" s="1"/>
  <c r="L11" i="9"/>
  <c r="J27" i="9"/>
  <c r="G42" i="9" s="1"/>
  <c r="I28" i="6"/>
  <c r="I53" i="6" s="1"/>
  <c r="J14" i="6"/>
  <c r="J28" i="6" s="1"/>
  <c r="H53" i="6"/>
  <c r="C28" i="6"/>
  <c r="M27" i="13" l="1"/>
  <c r="I42" i="13" s="1"/>
  <c r="N27" i="13"/>
  <c r="J42" i="13" s="1"/>
  <c r="L27" i="12"/>
  <c r="I42" i="12" s="1"/>
  <c r="M27" i="12"/>
  <c r="J42" i="12" s="1"/>
  <c r="L27" i="9"/>
  <c r="I42" i="9" s="1"/>
  <c r="M27" i="9"/>
  <c r="J42" i="9" s="1"/>
  <c r="J53" i="6"/>
  <c r="D28" i="6"/>
  <c r="D22" i="1"/>
  <c r="D23" i="1" s="1"/>
  <c r="F22" i="1"/>
  <c r="F23" i="1" s="1"/>
  <c r="B22" i="1" l="1"/>
  <c r="B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23C5A415-F93D-472A-91F4-FE17AC27BE1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36C5867B-BD5E-4712-BDCA-96D9816DAF0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 xr:uid="{77FA85E3-0C98-4E3C-A5DD-6A00F07BD26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 xr:uid="{9853BF64-B65C-4712-9684-71D4A1FBCB6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37A02A32-4E28-4A83-B765-121D16B1C7E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06D76D69-D55C-42BF-BCBC-5229DB94E9B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B8181286-C9BF-44B2-B16B-65320280C6B1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N13" authorId="0" shapeId="0" xr:uid="{CB42458A-4E92-4779-9CBF-2F3E31A43F0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432832AB-4EBC-4060-8C32-81E83529E51A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281B02BE-341E-47DC-83AA-737BBEEE4B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 xr:uid="{024E28ED-ABF4-4A2C-94BC-03712A879746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9EB055DB-9834-416F-9101-AB267E24A28F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C52678D9-6B55-4164-908C-4460277A018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AFB5225B-6238-432B-AEC1-7446290410E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9FD1098-5A7F-4DE6-BCCC-9967ED86C6A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 xr:uid="{D5D36F3C-255B-45A7-A40C-F42895A9387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B60EADFC-D9DA-483B-A7EE-73BE7EC552E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19885979-1E46-42CA-829B-12482B9B93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 xr:uid="{089B70A0-5B47-4EA1-899E-4830AA57F1C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E4E7FCCB-2E77-402D-8F2B-582B6A9F5A2E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773781C1-1486-49C8-8A7A-0ED5EA59D13C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 xr:uid="{D3A082AF-EE19-4AFD-8E4B-B6FE6F97B084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C0E20CE7-342F-4479-B79E-71200B85C743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770A9F3E-7BF2-4EE7-8EA5-B3A5DED58AA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8DFCE68C-79B2-4059-B506-AB1CD45703B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1D4B25C5-624A-4ABE-ACF2-16CBB1D9709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 xr:uid="{05BC9513-9E37-47FD-8CDA-176EB5B09D3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<sst xmlns="http://schemas.openxmlformats.org/spreadsheetml/2006/main" count="394" uniqueCount="108">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</sst>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16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4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084F-FABD-41AD-A420-B33155E5F1E0}">
  <sheetPr>
    <pageSetUpPr fitToPage="1"/>
  </sheetPr>
  <dimension ref="A1:Y60"/>
  <sheetViews>
    <sheetView showGridLines="0" workbookViewId="0">
      <selection activeCell="A4" sqref="A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201">
        <v>43983223</v>
      </c>
      <c r="C5" s="202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201">
        <v>1883173</v>
      </c>
      <c r="C6" s="202"/>
      <c r="D6" s="16"/>
      <c r="F6" s="40" t="s">
        <v>98</v>
      </c>
      <c r="G6" s="8"/>
    </row>
    <row r="7" spans="1:23" x14ac:dyDescent="0.25">
      <c r="A7" s="100" t="s">
        <v>75</v>
      </c>
      <c r="B7" s="203">
        <v>2018</v>
      </c>
      <c r="C7" s="204"/>
    </row>
    <row r="8" spans="1:23" x14ac:dyDescent="0.25">
      <c r="A8" s="101" t="s">
        <v>37</v>
      </c>
      <c r="B8" s="205">
        <v>43465</v>
      </c>
      <c r="C8" s="206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38E7-93B7-4F2C-BA70-66D824879249}">
  <sheetPr>
    <pageSetUpPr fitToPage="1"/>
  </sheetPr>
  <dimension ref="A1:Z60"/>
  <sheetViews>
    <sheetView showGridLines="0" tabSelected="1" workbookViewId="0">
      <selection activeCell="A16" sqref="A16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201">
        <v>43983223</v>
      </c>
      <c r="C5" s="202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201">
        <v>1883173</v>
      </c>
      <c r="C6" s="202"/>
      <c r="D6" s="16"/>
      <c r="E6" s="40" t="s">
        <v>102</v>
      </c>
      <c r="F6" s="8"/>
      <c r="G6" s="8"/>
    </row>
    <row r="7" spans="1:26" x14ac:dyDescent="0.25">
      <c r="A7" s="100" t="s">
        <v>75</v>
      </c>
      <c r="B7" s="203">
        <v>2018</v>
      </c>
      <c r="C7" s="204"/>
    </row>
    <row r="8" spans="1:26" x14ac:dyDescent="0.25">
      <c r="A8" s="101" t="s">
        <v>37</v>
      </c>
      <c r="B8" s="205">
        <v>43465</v>
      </c>
      <c r="C8" s="206"/>
    </row>
    <row r="10" spans="1:26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8.9769820971867004E-2</v>
      </c>
      <c r="G11" s="138">
        <f t="shared" ref="G11:G26" si="2">F11/$F$27</f>
        <v>0.62438850840522986</v>
      </c>
      <c r="H11" s="105">
        <f>$B$5*G11</f>
        <v>27462619.003824599</v>
      </c>
      <c r="I11" s="108">
        <f t="shared" ref="I11:I26" si="3">G11*$B$6</f>
        <v>1175831.5805390019</v>
      </c>
      <c r="J11" s="113">
        <f t="shared" ref="J11:J26" si="4">H11-I11</f>
        <v>26286787.423285596</v>
      </c>
      <c r="K11" s="119">
        <f>IFERROR(H11/E11*-1,0)</f>
        <v>-234723.23934892821</v>
      </c>
      <c r="L11" s="123">
        <f>I11-K11</f>
        <v>1410554.8198879301</v>
      </c>
      <c r="M11" s="129">
        <f>J11+K11</f>
        <v>26052064.183936667</v>
      </c>
      <c r="N11" s="94">
        <f>K11*D11*-1</f>
        <v>46944647.869785644</v>
      </c>
      <c r="O11" s="144">
        <f>ROUND(C11/$C$27,3)</f>
        <v>0.311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3.2557544757033249E-2</v>
      </c>
      <c r="G12" s="138">
        <f t="shared" si="2"/>
        <v>0.22645201458685402</v>
      </c>
      <c r="H12" s="105">
        <f t="shared" ref="H12:H26" si="5">$B$5*G12</f>
        <v>9960089.4563728534</v>
      </c>
      <c r="I12" s="108">
        <f t="shared" si="3"/>
        <v>426448.31966556964</v>
      </c>
      <c r="J12" s="113">
        <f t="shared" si="4"/>
        <v>9533641.1367072836</v>
      </c>
      <c r="K12" s="119">
        <f t="shared" ref="K12:K26" si="6">IFERROR(H12/E12*-1,0)</f>
        <v>-148658.05158765454</v>
      </c>
      <c r="L12" s="123">
        <f t="shared" ref="L12:L26" si="7">I12-K12</f>
        <v>575106.37125322421</v>
      </c>
      <c r="M12" s="129">
        <f t="shared" ref="M12:M26" si="8">J12+K12</f>
        <v>9384983.0851196293</v>
      </c>
      <c r="N12" s="94">
        <f t="shared" ref="N12:N26" si="9">K12*D12*-1</f>
        <v>22298707.738148183</v>
      </c>
      <c r="O12" s="144">
        <f t="shared" ref="O12:O25" si="10">ROUND(C12/$C$27,3)</f>
        <v>0.19700000000000001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1991</v>
      </c>
      <c r="C13" s="136">
        <v>0.03</v>
      </c>
      <c r="D13" s="135">
        <v>50</v>
      </c>
      <c r="E13" s="135">
        <f t="shared" si="0"/>
        <v>23</v>
      </c>
      <c r="F13" s="137">
        <f t="shared" si="1"/>
        <v>1.764705882352941E-3</v>
      </c>
      <c r="G13" s="138">
        <f t="shared" si="2"/>
        <v>1.227430401138486E-2</v>
      </c>
      <c r="H13" s="105">
        <f t="shared" si="5"/>
        <v>539863.45050253486</v>
      </c>
      <c r="I13" s="108">
        <f t="shared" si="3"/>
        <v>23114.637908031662</v>
      </c>
      <c r="J13" s="113">
        <f t="shared" si="4"/>
        <v>516748.81259450322</v>
      </c>
      <c r="K13" s="119">
        <f t="shared" si="6"/>
        <v>-23472.323934892822</v>
      </c>
      <c r="L13" s="123">
        <f t="shared" si="7"/>
        <v>46586.961842924487</v>
      </c>
      <c r="M13" s="129">
        <f t="shared" si="8"/>
        <v>493276.48865961039</v>
      </c>
      <c r="N13" s="94">
        <f t="shared" si="9"/>
        <v>1173616.1967446411</v>
      </c>
      <c r="O13" s="144">
        <f t="shared" si="10"/>
        <v>3.1E-2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1935</v>
      </c>
      <c r="C14" s="136">
        <v>0.03</v>
      </c>
      <c r="D14" s="135">
        <v>60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1.764705882352941E-3</v>
      </c>
      <c r="G15" s="138">
        <f t="shared" si="2"/>
        <v>1.227430401138486E-2</v>
      </c>
      <c r="H15" s="105">
        <f t="shared" si="5"/>
        <v>539863.45050253486</v>
      </c>
      <c r="I15" s="108">
        <f t="shared" si="3"/>
        <v>23114.637908031662</v>
      </c>
      <c r="J15" s="113">
        <f t="shared" si="4"/>
        <v>516748.81259450322</v>
      </c>
      <c r="K15" s="119">
        <f t="shared" si="6"/>
        <v>-23472.323934892822</v>
      </c>
      <c r="L15" s="123">
        <f t="shared" si="7"/>
        <v>46586.961842924487</v>
      </c>
      <c r="M15" s="129">
        <f t="shared" si="8"/>
        <v>493276.48865961039</v>
      </c>
      <c r="N15" s="94">
        <f t="shared" si="9"/>
        <v>1173616.1967446411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9.9744245524296688E-4</v>
      </c>
      <c r="G16" s="138">
        <f t="shared" si="2"/>
        <v>6.937650093391444E-3</v>
      </c>
      <c r="H16" s="105">
        <f t="shared" si="5"/>
        <v>305140.21115360671</v>
      </c>
      <c r="I16" s="108">
        <f t="shared" si="3"/>
        <v>13064.795339322245</v>
      </c>
      <c r="J16" s="113">
        <f t="shared" si="4"/>
        <v>292075.41581428447</v>
      </c>
      <c r="K16" s="119">
        <f t="shared" si="6"/>
        <v>-23472.323934892825</v>
      </c>
      <c r="L16" s="123">
        <f t="shared" si="7"/>
        <v>36537.119274215074</v>
      </c>
      <c r="M16" s="129">
        <f t="shared" si="8"/>
        <v>268603.09187939164</v>
      </c>
      <c r="N16" s="94">
        <f t="shared" si="9"/>
        <v>938892.95739571308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1991</v>
      </c>
      <c r="C17" s="192">
        <v>0.06</v>
      </c>
      <c r="D17" s="135">
        <v>40</v>
      </c>
      <c r="E17" s="135">
        <f t="shared" si="0"/>
        <v>13</v>
      </c>
      <c r="F17" s="137">
        <f t="shared" si="1"/>
        <v>1.9948849104859338E-3</v>
      </c>
      <c r="G17" s="138">
        <f t="shared" si="2"/>
        <v>1.3875300186782888E-2</v>
      </c>
      <c r="H17" s="105">
        <f t="shared" si="5"/>
        <v>610280.42230721342</v>
      </c>
      <c r="I17" s="108">
        <f t="shared" si="3"/>
        <v>26129.59067864449</v>
      </c>
      <c r="J17" s="113">
        <f t="shared" si="4"/>
        <v>584150.83162856894</v>
      </c>
      <c r="K17" s="119">
        <f t="shared" si="6"/>
        <v>-46944.647869785651</v>
      </c>
      <c r="L17" s="123">
        <f t="shared" si="7"/>
        <v>73074.238548430149</v>
      </c>
      <c r="M17" s="129">
        <f t="shared" si="8"/>
        <v>537206.18375878327</v>
      </c>
      <c r="N17" s="94">
        <f t="shared" si="9"/>
        <v>1877785.9147914262</v>
      </c>
      <c r="O17" s="144">
        <f t="shared" si="10"/>
        <v>6.2E-2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2.9411764705882353E-3</v>
      </c>
      <c r="G19" s="138">
        <f t="shared" si="2"/>
        <v>2.0457173352308101E-2</v>
      </c>
      <c r="H19" s="105">
        <f t="shared" si="5"/>
        <v>899772.41750422481</v>
      </c>
      <c r="I19" s="108">
        <f t="shared" si="3"/>
        <v>38524.396513386106</v>
      </c>
      <c r="J19" s="113">
        <f t="shared" si="4"/>
        <v>861248.02099083876</v>
      </c>
      <c r="K19" s="119">
        <f t="shared" si="6"/>
        <v>-39120.539891488035</v>
      </c>
      <c r="L19" s="123">
        <f t="shared" si="7"/>
        <v>77644.936404874141</v>
      </c>
      <c r="M19" s="129">
        <f t="shared" si="8"/>
        <v>822127.48109935073</v>
      </c>
      <c r="N19" s="94">
        <f t="shared" si="9"/>
        <v>1956026.9945744018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1.764705882352941E-3</v>
      </c>
      <c r="G20" s="138">
        <f t="shared" si="2"/>
        <v>1.227430401138486E-2</v>
      </c>
      <c r="H20" s="105">
        <f t="shared" si="5"/>
        <v>539863.45050253486</v>
      </c>
      <c r="I20" s="108">
        <f t="shared" si="3"/>
        <v>23114.637908031662</v>
      </c>
      <c r="J20" s="113">
        <f t="shared" si="4"/>
        <v>516748.81259450322</v>
      </c>
      <c r="K20" s="119">
        <f t="shared" si="6"/>
        <v>-23472.323934892822</v>
      </c>
      <c r="L20" s="123">
        <f t="shared" si="7"/>
        <v>46586.961842924487</v>
      </c>
      <c r="M20" s="129">
        <f t="shared" si="8"/>
        <v>493276.48865961039</v>
      </c>
      <c r="N20" s="94">
        <f>K20*D20*-1</f>
        <v>1173616.1967446411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2.3017902813299233E-4</v>
      </c>
      <c r="G21" s="138">
        <f t="shared" si="2"/>
        <v>1.6009961753980252E-3</v>
      </c>
      <c r="H21" s="105">
        <f t="shared" si="5"/>
        <v>70416.971804678455</v>
      </c>
      <c r="I21" s="108">
        <f t="shared" si="3"/>
        <v>3014.9527706128256</v>
      </c>
      <c r="J21" s="113">
        <f t="shared" si="4"/>
        <v>67402.019034065626</v>
      </c>
      <c r="K21" s="119">
        <f t="shared" si="6"/>
        <v>-23472.323934892818</v>
      </c>
      <c r="L21" s="123">
        <f t="shared" si="7"/>
        <v>26487.276705505643</v>
      </c>
      <c r="M21" s="129">
        <f t="shared" si="8"/>
        <v>43929.695099172808</v>
      </c>
      <c r="N21" s="94">
        <f t="shared" si="9"/>
        <v>704169.71804678452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1.3810741687979538E-3</v>
      </c>
      <c r="G22" s="138">
        <f t="shared" si="2"/>
        <v>9.605977052388151E-3</v>
      </c>
      <c r="H22" s="105">
        <f t="shared" si="5"/>
        <v>422501.83082807076</v>
      </c>
      <c r="I22" s="108">
        <f t="shared" si="3"/>
        <v>18089.716623676952</v>
      </c>
      <c r="J22" s="113">
        <f t="shared" si="4"/>
        <v>404412.11420439382</v>
      </c>
      <c r="K22" s="119">
        <f t="shared" si="6"/>
        <v>-15648.215956595213</v>
      </c>
      <c r="L22" s="123">
        <f t="shared" si="7"/>
        <v>33737.932580272165</v>
      </c>
      <c r="M22" s="129">
        <f t="shared" si="8"/>
        <v>388763.89824779861</v>
      </c>
      <c r="N22" s="94">
        <f t="shared" si="9"/>
        <v>625928.63826380856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1991</v>
      </c>
      <c r="C23" s="192">
        <v>5.0000000000000001E-3</v>
      </c>
      <c r="D23" s="135">
        <v>50</v>
      </c>
      <c r="E23" s="135">
        <f t="shared" si="0"/>
        <v>23</v>
      </c>
      <c r="F23" s="137">
        <f t="shared" si="1"/>
        <v>2.9411764705882356E-4</v>
      </c>
      <c r="G23" s="138">
        <f t="shared" si="2"/>
        <v>2.0457173352308104E-3</v>
      </c>
      <c r="H23" s="105">
        <f t="shared" si="5"/>
        <v>89977.241750422487</v>
      </c>
      <c r="I23" s="108">
        <f t="shared" si="3"/>
        <v>3852.4396513386109</v>
      </c>
      <c r="J23" s="113">
        <f t="shared" si="4"/>
        <v>86124.80209908387</v>
      </c>
      <c r="K23" s="119">
        <f t="shared" si="6"/>
        <v>-3912.0539891488038</v>
      </c>
      <c r="L23" s="123">
        <f t="shared" si="7"/>
        <v>7764.4936404874152</v>
      </c>
      <c r="M23" s="129">
        <f t="shared" si="8"/>
        <v>82212.74810993507</v>
      </c>
      <c r="N23" s="94">
        <f t="shared" si="9"/>
        <v>195602.69945744018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6.6496163682864455E-4</v>
      </c>
      <c r="G24" s="138">
        <f t="shared" si="2"/>
        <v>4.6251000622609621E-3</v>
      </c>
      <c r="H24" s="105">
        <f t="shared" si="5"/>
        <v>203426.80743573778</v>
      </c>
      <c r="I24" s="108">
        <f t="shared" si="3"/>
        <v>8709.8635595481628</v>
      </c>
      <c r="J24" s="113">
        <f t="shared" si="4"/>
        <v>194716.94387618962</v>
      </c>
      <c r="K24" s="119">
        <f t="shared" si="6"/>
        <v>-15648.215956595213</v>
      </c>
      <c r="L24" s="123">
        <f t="shared" si="7"/>
        <v>24358.079516143378</v>
      </c>
      <c r="M24" s="129">
        <f t="shared" si="8"/>
        <v>179068.72791959441</v>
      </c>
      <c r="N24" s="94">
        <f>K24*D24*-1</f>
        <v>625928.63826380856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7.6470588235294122E-3</v>
      </c>
      <c r="G26" s="142">
        <f t="shared" si="2"/>
        <v>5.3188650716001068E-2</v>
      </c>
      <c r="H26" s="106">
        <f t="shared" si="5"/>
        <v>2339408.2855109847</v>
      </c>
      <c r="I26" s="109">
        <f t="shared" si="3"/>
        <v>100163.43093480388</v>
      </c>
      <c r="J26" s="114">
        <f t="shared" si="4"/>
        <v>2239244.8545761807</v>
      </c>
      <c r="K26" s="119">
        <f t="shared" si="6"/>
        <v>-101713.4037178689</v>
      </c>
      <c r="L26" s="124">
        <f t="shared" si="7"/>
        <v>201876.83465267278</v>
      </c>
      <c r="M26" s="129">
        <f t="shared" si="8"/>
        <v>2137531.4508583117</v>
      </c>
      <c r="N26" s="94">
        <f t="shared" si="9"/>
        <v>5085670.1858934453</v>
      </c>
      <c r="O26" s="144">
        <f>1-SUM(O11:O25)</f>
        <v>0.13499999999999968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0.9650000000000003</v>
      </c>
      <c r="D27" s="181" t="s">
        <v>72</v>
      </c>
      <c r="E27" s="182">
        <f t="shared" ref="E27:P27" si="11">SUM(E11:E26)</f>
        <v>391</v>
      </c>
      <c r="F27" s="183">
        <f t="shared" si="11"/>
        <v>0.14377237851662406</v>
      </c>
      <c r="G27" s="180">
        <f t="shared" si="11"/>
        <v>0.99999999999999989</v>
      </c>
      <c r="H27" s="105">
        <f t="shared" si="11"/>
        <v>43983222.999999993</v>
      </c>
      <c r="I27" s="108">
        <f t="shared" si="11"/>
        <v>1883173</v>
      </c>
      <c r="J27" s="115">
        <f t="shared" si="11"/>
        <v>42100050</v>
      </c>
      <c r="K27" s="120">
        <f t="shared" si="11"/>
        <v>-723729.98799252859</v>
      </c>
      <c r="L27" s="125">
        <f t="shared" si="11"/>
        <v>2606902.9879925288</v>
      </c>
      <c r="M27" s="131">
        <f t="shared" si="11"/>
        <v>41376320.012007475</v>
      </c>
      <c r="N27" s="97">
        <f t="shared" si="11"/>
        <v>84774209.944854543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4">
        <f t="shared" ref="B28:G28" si="12">AVERAGE(B11:B26)</f>
        <v>1981.375</v>
      </c>
      <c r="C28" s="185">
        <f t="shared" si="12"/>
        <v>6.0312500000000019E-2</v>
      </c>
      <c r="D28" s="186">
        <f t="shared" si="12"/>
        <v>59.0625</v>
      </c>
      <c r="E28" s="186">
        <f t="shared" si="12"/>
        <v>24.4375</v>
      </c>
      <c r="F28" s="187">
        <f t="shared" si="12"/>
        <v>8.9857736572890035E-3</v>
      </c>
      <c r="G28" s="185">
        <f t="shared" si="12"/>
        <v>6.2499999999999993E-2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1961.1139896373049</v>
      </c>
      <c r="C29" s="189"/>
      <c r="D29" s="188">
        <f>SUMPRODUCT(D11:D26,C11:C26)/SUM(C11:C26)</f>
        <v>114.35233160621759</v>
      </c>
      <c r="E29" s="188">
        <f>SUMPRODUCT(E11:E26,C11:C26)/SUM(C11:C26)</f>
        <v>58.25388601036267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49863134.999999993</v>
      </c>
      <c r="F42" s="57">
        <f t="shared" si="18"/>
        <v>2505325</v>
      </c>
      <c r="G42" s="57">
        <f t="shared" si="18"/>
        <v>47250342.774999999</v>
      </c>
      <c r="H42" s="57">
        <f t="shared" si="18"/>
        <v>-1006911.6413258619</v>
      </c>
      <c r="I42" s="58">
        <f t="shared" si="18"/>
        <v>3512236.6413258621</v>
      </c>
      <c r="J42" s="58">
        <f t="shared" si="18"/>
        <v>46350898.358674139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9832-CFA5-481E-A80F-808258494612}">
  <sheetPr>
    <pageSetUpPr fitToPage="1"/>
  </sheetPr>
  <dimension ref="A1:AA60"/>
  <sheetViews>
    <sheetView showGridLines="0" workbookViewId="0">
      <selection activeCell="E11" sqref="E11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201">
        <v>43983223</v>
      </c>
      <c r="C5" s="202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201">
        <v>1883173</v>
      </c>
      <c r="C6" s="202"/>
      <c r="D6" s="16"/>
      <c r="F6" s="8"/>
      <c r="G6" s="8"/>
    </row>
    <row r="7" spans="1:27" x14ac:dyDescent="0.25">
      <c r="A7" s="100" t="s">
        <v>75</v>
      </c>
      <c r="B7" s="203">
        <v>2018</v>
      </c>
      <c r="C7" s="204"/>
    </row>
    <row r="8" spans="1:27" x14ac:dyDescent="0.25">
      <c r="A8" s="101" t="s">
        <v>37</v>
      </c>
      <c r="B8" s="205">
        <v>43465</v>
      </c>
      <c r="C8" s="206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1935</v>
      </c>
      <c r="C11" s="136">
        <v>0.3</v>
      </c>
      <c r="D11" s="135">
        <v>200</v>
      </c>
      <c r="E11" s="194">
        <f>IF(D11-(2001-B11)&lt;0,0,D11-(2001-B11))</f>
        <v>134</v>
      </c>
      <c r="F11" s="135">
        <f t="shared" ref="F11:F26" si="0">IF(D11-($B$7-B11)&gt;0,D11-($B$7-B11),0)</f>
        <v>117</v>
      </c>
      <c r="G11" s="137">
        <f t="shared" ref="G11:G26" si="1">F11/SUM($F$11:$F$26)*C11</f>
        <v>8.9769820971867004E-2</v>
      </c>
      <c r="H11" s="138">
        <f t="shared" ref="H11:H26" si="2">G11/$G$27</f>
        <v>0.62438850840522986</v>
      </c>
      <c r="I11" s="105">
        <f>$B$5*H11</f>
        <v>27462619.003824599</v>
      </c>
      <c r="J11" s="108">
        <f t="shared" ref="J11:J26" si="3">H11*$B$6</f>
        <v>1175831.5805390019</v>
      </c>
      <c r="K11" s="113">
        <f t="shared" ref="K11:K26" si="4">I11-J11</f>
        <v>26286787.423285596</v>
      </c>
      <c r="L11" s="119">
        <f>IFERROR(I11/E11*-1,0)</f>
        <v>-204944.91793898956</v>
      </c>
      <c r="M11" s="123">
        <f>J11-L11</f>
        <v>1380776.4984779914</v>
      </c>
      <c r="N11" s="129">
        <f>K11+L11</f>
        <v>26081842.505346607</v>
      </c>
      <c r="O11" s="94">
        <f t="shared" ref="O11:O26" si="5">L11*D11*-1</f>
        <v>40988983.58779791</v>
      </c>
      <c r="P11" s="144">
        <f t="shared" ref="P11:P25" si="6">ROUND(C11/$C$27,3)</f>
        <v>0.311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1935</v>
      </c>
      <c r="C12" s="136">
        <v>0.19</v>
      </c>
      <c r="D12" s="135">
        <v>150</v>
      </c>
      <c r="E12" s="194">
        <f t="shared" ref="E12:E26" si="7">IF(D12-(2001-B12)&lt;0,0,D12-(2001-B12))</f>
        <v>84</v>
      </c>
      <c r="F12" s="135">
        <f t="shared" si="0"/>
        <v>67</v>
      </c>
      <c r="G12" s="137">
        <f t="shared" si="1"/>
        <v>3.2557544757033249E-2</v>
      </c>
      <c r="H12" s="138">
        <f t="shared" si="2"/>
        <v>0.22645201458685402</v>
      </c>
      <c r="I12" s="105">
        <f t="shared" ref="I12:I26" si="8">$B$5*H12</f>
        <v>9960089.4563728534</v>
      </c>
      <c r="J12" s="108">
        <f t="shared" si="3"/>
        <v>426448.31966556964</v>
      </c>
      <c r="K12" s="113">
        <f t="shared" si="4"/>
        <v>9533641.1367072836</v>
      </c>
      <c r="L12" s="119">
        <f t="shared" ref="L12:L26" si="9">IFERROR(I12/E12*-1,0)</f>
        <v>-118572.49352824825</v>
      </c>
      <c r="M12" s="123">
        <f t="shared" ref="M12:M26" si="10">J12-L12</f>
        <v>545020.81319381786</v>
      </c>
      <c r="N12" s="129">
        <f t="shared" ref="N12:N26" si="11">K12+L12</f>
        <v>9415068.6431790348</v>
      </c>
      <c r="O12" s="94">
        <f t="shared" si="5"/>
        <v>17785874.029237237</v>
      </c>
      <c r="P12" s="144">
        <f t="shared" si="6"/>
        <v>0.19700000000000001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1991</v>
      </c>
      <c r="C13" s="136">
        <v>0.03</v>
      </c>
      <c r="D13" s="135">
        <v>50</v>
      </c>
      <c r="E13" s="194">
        <f t="shared" si="7"/>
        <v>40</v>
      </c>
      <c r="F13" s="135">
        <f t="shared" si="0"/>
        <v>23</v>
      </c>
      <c r="G13" s="137">
        <f t="shared" si="1"/>
        <v>1.764705882352941E-3</v>
      </c>
      <c r="H13" s="138">
        <f t="shared" si="2"/>
        <v>1.227430401138486E-2</v>
      </c>
      <c r="I13" s="105">
        <f t="shared" si="8"/>
        <v>539863.45050253486</v>
      </c>
      <c r="J13" s="108">
        <f t="shared" si="3"/>
        <v>23114.637908031662</v>
      </c>
      <c r="K13" s="113">
        <f t="shared" si="4"/>
        <v>516748.81259450322</v>
      </c>
      <c r="L13" s="119">
        <f t="shared" si="9"/>
        <v>-13496.586262563371</v>
      </c>
      <c r="M13" s="123">
        <f t="shared" si="10"/>
        <v>36611.224170595029</v>
      </c>
      <c r="N13" s="129">
        <f t="shared" si="11"/>
        <v>503252.22633193986</v>
      </c>
      <c r="O13" s="94">
        <f t="shared" si="5"/>
        <v>674829.31312816858</v>
      </c>
      <c r="P13" s="144">
        <f t="shared" si="6"/>
        <v>3.1E-2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1991</v>
      </c>
      <c r="C15" s="136">
        <v>0.03</v>
      </c>
      <c r="D15" s="135">
        <v>50</v>
      </c>
      <c r="E15" s="194">
        <f t="shared" si="7"/>
        <v>40</v>
      </c>
      <c r="F15" s="135">
        <f t="shared" si="0"/>
        <v>23</v>
      </c>
      <c r="G15" s="137">
        <f t="shared" si="1"/>
        <v>1.764705882352941E-3</v>
      </c>
      <c r="H15" s="138">
        <f t="shared" si="2"/>
        <v>1.227430401138486E-2</v>
      </c>
      <c r="I15" s="105">
        <f t="shared" si="8"/>
        <v>539863.45050253486</v>
      </c>
      <c r="J15" s="108">
        <f t="shared" si="3"/>
        <v>23114.637908031662</v>
      </c>
      <c r="K15" s="113">
        <f t="shared" si="4"/>
        <v>516748.81259450322</v>
      </c>
      <c r="L15" s="119">
        <f t="shared" si="9"/>
        <v>-13496.586262563371</v>
      </c>
      <c r="M15" s="123">
        <f t="shared" si="10"/>
        <v>36611.224170595029</v>
      </c>
      <c r="N15" s="129">
        <f t="shared" si="11"/>
        <v>503252.22633193986</v>
      </c>
      <c r="O15" s="94">
        <f t="shared" si="5"/>
        <v>674829.31312816858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1991</v>
      </c>
      <c r="C16" s="136">
        <v>0.03</v>
      </c>
      <c r="D16" s="135">
        <v>40</v>
      </c>
      <c r="E16" s="194">
        <f t="shared" si="7"/>
        <v>30</v>
      </c>
      <c r="F16" s="135">
        <f t="shared" si="0"/>
        <v>13</v>
      </c>
      <c r="G16" s="137">
        <f t="shared" si="1"/>
        <v>9.9744245524296688E-4</v>
      </c>
      <c r="H16" s="138">
        <f t="shared" si="2"/>
        <v>6.937650093391444E-3</v>
      </c>
      <c r="I16" s="105">
        <f t="shared" si="8"/>
        <v>305140.21115360671</v>
      </c>
      <c r="J16" s="108">
        <f t="shared" si="3"/>
        <v>13064.795339322245</v>
      </c>
      <c r="K16" s="113">
        <f t="shared" si="4"/>
        <v>292075.41581428447</v>
      </c>
      <c r="L16" s="119">
        <f t="shared" si="9"/>
        <v>-10171.34037178689</v>
      </c>
      <c r="M16" s="123">
        <f t="shared" si="10"/>
        <v>23236.135711109135</v>
      </c>
      <c r="N16" s="129">
        <f t="shared" si="11"/>
        <v>281904.07544249756</v>
      </c>
      <c r="O16" s="94">
        <f t="shared" si="5"/>
        <v>406853.61487147561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1991</v>
      </c>
      <c r="C17" s="192">
        <v>0.06</v>
      </c>
      <c r="D17" s="135">
        <v>40</v>
      </c>
      <c r="E17" s="194">
        <f t="shared" si="7"/>
        <v>30</v>
      </c>
      <c r="F17" s="135">
        <f t="shared" si="0"/>
        <v>13</v>
      </c>
      <c r="G17" s="137">
        <f t="shared" si="1"/>
        <v>1.9948849104859338E-3</v>
      </c>
      <c r="H17" s="138">
        <f t="shared" si="2"/>
        <v>1.3875300186782888E-2</v>
      </c>
      <c r="I17" s="105">
        <f t="shared" si="8"/>
        <v>610280.42230721342</v>
      </c>
      <c r="J17" s="108">
        <f t="shared" si="3"/>
        <v>26129.59067864449</v>
      </c>
      <c r="K17" s="113">
        <f t="shared" si="4"/>
        <v>584150.83162856894</v>
      </c>
      <c r="L17" s="119">
        <f t="shared" si="9"/>
        <v>-20342.680743573779</v>
      </c>
      <c r="M17" s="123">
        <f t="shared" si="10"/>
        <v>46472.271422218269</v>
      </c>
      <c r="N17" s="129">
        <f t="shared" si="11"/>
        <v>563808.15088499512</v>
      </c>
      <c r="O17" s="94">
        <f t="shared" si="5"/>
        <v>813707.22974295123</v>
      </c>
      <c r="P17" s="144">
        <f t="shared" si="6"/>
        <v>6.2E-2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1991</v>
      </c>
      <c r="C18" s="136">
        <v>0</v>
      </c>
      <c r="D18" s="135">
        <v>25</v>
      </c>
      <c r="E18" s="194">
        <f t="shared" si="7"/>
        <v>15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1991</v>
      </c>
      <c r="C19" s="136">
        <v>0.05</v>
      </c>
      <c r="D19" s="135">
        <v>50</v>
      </c>
      <c r="E19" s="194">
        <f t="shared" si="7"/>
        <v>40</v>
      </c>
      <c r="F19" s="135">
        <f t="shared" si="0"/>
        <v>23</v>
      </c>
      <c r="G19" s="137">
        <f t="shared" si="1"/>
        <v>2.9411764705882353E-3</v>
      </c>
      <c r="H19" s="138">
        <f t="shared" si="2"/>
        <v>2.0457173352308101E-2</v>
      </c>
      <c r="I19" s="105">
        <f t="shared" si="8"/>
        <v>899772.41750422481</v>
      </c>
      <c r="J19" s="108">
        <f t="shared" si="3"/>
        <v>38524.396513386106</v>
      </c>
      <c r="K19" s="113">
        <f t="shared" si="4"/>
        <v>861248.02099083876</v>
      </c>
      <c r="L19" s="119">
        <f t="shared" si="9"/>
        <v>-22494.310437605622</v>
      </c>
      <c r="M19" s="123">
        <f t="shared" si="10"/>
        <v>61018.706950991727</v>
      </c>
      <c r="N19" s="129">
        <f t="shared" si="11"/>
        <v>838753.71055323316</v>
      </c>
      <c r="O19" s="94">
        <f t="shared" si="5"/>
        <v>1124715.5218802812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1991</v>
      </c>
      <c r="C20" s="136">
        <v>0.03</v>
      </c>
      <c r="D20" s="135">
        <v>50</v>
      </c>
      <c r="E20" s="194">
        <f t="shared" si="7"/>
        <v>40</v>
      </c>
      <c r="F20" s="135">
        <f t="shared" si="0"/>
        <v>23</v>
      </c>
      <c r="G20" s="137">
        <f t="shared" si="1"/>
        <v>1.764705882352941E-3</v>
      </c>
      <c r="H20" s="138">
        <f t="shared" si="2"/>
        <v>1.227430401138486E-2</v>
      </c>
      <c r="I20" s="105">
        <f t="shared" si="8"/>
        <v>539863.45050253486</v>
      </c>
      <c r="J20" s="108">
        <f t="shared" si="3"/>
        <v>23114.637908031662</v>
      </c>
      <c r="K20" s="113">
        <f t="shared" si="4"/>
        <v>516748.81259450322</v>
      </c>
      <c r="L20" s="119">
        <f t="shared" si="9"/>
        <v>-13496.586262563371</v>
      </c>
      <c r="M20" s="123">
        <f t="shared" si="10"/>
        <v>36611.224170595029</v>
      </c>
      <c r="N20" s="129">
        <f t="shared" si="11"/>
        <v>503252.22633193986</v>
      </c>
      <c r="O20" s="94">
        <f t="shared" si="5"/>
        <v>674829.31312816858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1991</v>
      </c>
      <c r="C21" s="136">
        <v>0.03</v>
      </c>
      <c r="D21" s="135">
        <v>30</v>
      </c>
      <c r="E21" s="194">
        <f t="shared" si="7"/>
        <v>20</v>
      </c>
      <c r="F21" s="135">
        <f t="shared" si="0"/>
        <v>3</v>
      </c>
      <c r="G21" s="137">
        <f t="shared" si="1"/>
        <v>2.3017902813299233E-4</v>
      </c>
      <c r="H21" s="138">
        <f t="shared" si="2"/>
        <v>1.6009961753980252E-3</v>
      </c>
      <c r="I21" s="105">
        <f t="shared" si="8"/>
        <v>70416.971804678455</v>
      </c>
      <c r="J21" s="108">
        <f t="shared" si="3"/>
        <v>3014.9527706128256</v>
      </c>
      <c r="K21" s="113">
        <f t="shared" si="4"/>
        <v>67402.019034065626</v>
      </c>
      <c r="L21" s="119">
        <f t="shared" si="9"/>
        <v>-3520.8485902339226</v>
      </c>
      <c r="M21" s="123">
        <f t="shared" si="10"/>
        <v>6535.8013608467481</v>
      </c>
      <c r="N21" s="129">
        <f t="shared" si="11"/>
        <v>63881.170443831703</v>
      </c>
      <c r="O21" s="94">
        <f t="shared" si="5"/>
        <v>105625.45770701767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1.3810741687979538E-3</v>
      </c>
      <c r="H22" s="138">
        <f t="shared" si="2"/>
        <v>9.605977052388151E-3</v>
      </c>
      <c r="I22" s="105">
        <f t="shared" si="8"/>
        <v>422501.83082807076</v>
      </c>
      <c r="J22" s="108">
        <f t="shared" si="3"/>
        <v>18089.716623676952</v>
      </c>
      <c r="K22" s="113">
        <f t="shared" si="4"/>
        <v>404412.11420439382</v>
      </c>
      <c r="L22" s="119">
        <f t="shared" si="9"/>
        <v>-9602.3143370016078</v>
      </c>
      <c r="M22" s="123">
        <f t="shared" si="10"/>
        <v>27692.030960678559</v>
      </c>
      <c r="N22" s="129">
        <f t="shared" si="11"/>
        <v>394809.79986739223</v>
      </c>
      <c r="O22" s="94">
        <f t="shared" si="5"/>
        <v>384092.57348006428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1991</v>
      </c>
      <c r="C23" s="192">
        <v>5.0000000000000001E-3</v>
      </c>
      <c r="D23" s="135">
        <v>50</v>
      </c>
      <c r="E23" s="194">
        <f t="shared" si="7"/>
        <v>40</v>
      </c>
      <c r="F23" s="135">
        <f t="shared" si="0"/>
        <v>23</v>
      </c>
      <c r="G23" s="137">
        <f t="shared" si="1"/>
        <v>2.9411764705882356E-4</v>
      </c>
      <c r="H23" s="138">
        <f t="shared" si="2"/>
        <v>2.0457173352308104E-3</v>
      </c>
      <c r="I23" s="105">
        <f t="shared" si="8"/>
        <v>89977.241750422487</v>
      </c>
      <c r="J23" s="108">
        <f t="shared" si="3"/>
        <v>3852.4396513386109</v>
      </c>
      <c r="K23" s="113">
        <f t="shared" si="4"/>
        <v>86124.80209908387</v>
      </c>
      <c r="L23" s="119">
        <f t="shared" si="9"/>
        <v>-2249.4310437605623</v>
      </c>
      <c r="M23" s="123">
        <f t="shared" si="10"/>
        <v>6101.8706950991727</v>
      </c>
      <c r="N23" s="129">
        <f t="shared" si="11"/>
        <v>83875.37105532331</v>
      </c>
      <c r="O23" s="94">
        <f t="shared" si="5"/>
        <v>112471.55218802812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1991</v>
      </c>
      <c r="C24" s="136">
        <v>0.02</v>
      </c>
      <c r="D24" s="135">
        <v>40</v>
      </c>
      <c r="E24" s="194">
        <f t="shared" si="7"/>
        <v>30</v>
      </c>
      <c r="F24" s="135">
        <f t="shared" si="0"/>
        <v>13</v>
      </c>
      <c r="G24" s="137">
        <f t="shared" si="1"/>
        <v>6.6496163682864455E-4</v>
      </c>
      <c r="H24" s="138">
        <f t="shared" si="2"/>
        <v>4.6251000622609621E-3</v>
      </c>
      <c r="I24" s="105">
        <f t="shared" si="8"/>
        <v>203426.80743573778</v>
      </c>
      <c r="J24" s="108">
        <f t="shared" si="3"/>
        <v>8709.8635595481628</v>
      </c>
      <c r="K24" s="113">
        <f t="shared" si="4"/>
        <v>194716.94387618962</v>
      </c>
      <c r="L24" s="119">
        <f t="shared" si="9"/>
        <v>-6780.8935811912588</v>
      </c>
      <c r="M24" s="123">
        <f t="shared" si="10"/>
        <v>15490.757140739421</v>
      </c>
      <c r="N24" s="129">
        <f t="shared" si="11"/>
        <v>187936.05029499836</v>
      </c>
      <c r="O24" s="94">
        <f t="shared" si="5"/>
        <v>271235.74324765033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1991</v>
      </c>
      <c r="C25" s="136">
        <v>0.01</v>
      </c>
      <c r="D25" s="135">
        <v>20</v>
      </c>
      <c r="E25" s="194">
        <f t="shared" si="7"/>
        <v>10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1991</v>
      </c>
      <c r="C26" s="140">
        <v>0.13</v>
      </c>
      <c r="D26" s="139">
        <v>50</v>
      </c>
      <c r="E26" s="194">
        <f t="shared" si="7"/>
        <v>40</v>
      </c>
      <c r="F26" s="139">
        <f t="shared" si="0"/>
        <v>23</v>
      </c>
      <c r="G26" s="141">
        <f t="shared" si="1"/>
        <v>7.6470588235294122E-3</v>
      </c>
      <c r="H26" s="142">
        <f t="shared" si="2"/>
        <v>5.3188650716001068E-2</v>
      </c>
      <c r="I26" s="106">
        <f t="shared" si="8"/>
        <v>2339408.2855109847</v>
      </c>
      <c r="J26" s="109">
        <f t="shared" si="3"/>
        <v>100163.43093480388</v>
      </c>
      <c r="K26" s="114">
        <f t="shared" si="4"/>
        <v>2239244.8545761807</v>
      </c>
      <c r="L26" s="119">
        <f t="shared" si="9"/>
        <v>-58485.207137774618</v>
      </c>
      <c r="M26" s="124">
        <f t="shared" si="10"/>
        <v>158648.6380725785</v>
      </c>
      <c r="N26" s="129">
        <f t="shared" si="11"/>
        <v>2180759.647438406</v>
      </c>
      <c r="O26" s="94">
        <f t="shared" si="5"/>
        <v>2924260.356888731</v>
      </c>
      <c r="P26" s="144">
        <f>1-SUM(P11:P25)</f>
        <v>0.13499999999999968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0.9650000000000003</v>
      </c>
      <c r="D27" s="181" t="s">
        <v>72</v>
      </c>
      <c r="E27" s="195">
        <f t="shared" ref="E27:Q27" si="12">SUM(E11:E26)</f>
        <v>637</v>
      </c>
      <c r="F27" s="182">
        <f t="shared" si="12"/>
        <v>391</v>
      </c>
      <c r="G27" s="183">
        <f t="shared" si="12"/>
        <v>0.14377237851662406</v>
      </c>
      <c r="H27" s="180">
        <f t="shared" si="12"/>
        <v>0.99999999999999989</v>
      </c>
      <c r="I27" s="105">
        <f t="shared" si="12"/>
        <v>43983222.999999993</v>
      </c>
      <c r="J27" s="108">
        <f t="shared" si="12"/>
        <v>1883173</v>
      </c>
      <c r="K27" s="115">
        <f t="shared" si="12"/>
        <v>42100050</v>
      </c>
      <c r="L27" s="120">
        <f t="shared" si="12"/>
        <v>-497654.19649785612</v>
      </c>
      <c r="M27" s="125">
        <f t="shared" si="12"/>
        <v>2380827.1964978562</v>
      </c>
      <c r="N27" s="131">
        <f t="shared" si="12"/>
        <v>41602395.803502142</v>
      </c>
      <c r="O27" s="97">
        <f t="shared" si="12"/>
        <v>66942307.606425852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1981.375</v>
      </c>
      <c r="C28" s="185">
        <f t="shared" si="13"/>
        <v>6.0312500000000019E-2</v>
      </c>
      <c r="D28" s="186">
        <f t="shared" si="13"/>
        <v>59.0625</v>
      </c>
      <c r="E28" s="196">
        <f t="shared" si="13"/>
        <v>39.8125</v>
      </c>
      <c r="F28" s="186">
        <f t="shared" si="13"/>
        <v>24.4375</v>
      </c>
      <c r="G28" s="187">
        <f t="shared" si="13"/>
        <v>8.9857736572890035E-3</v>
      </c>
      <c r="H28" s="185">
        <f t="shared" si="13"/>
        <v>6.2499999999999993E-2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1961.1139896373049</v>
      </c>
      <c r="C29" s="199"/>
      <c r="D29" s="198">
        <f>SUMPRODUCT(D11:D26,C11:C26)/SUM(C11:C26)</f>
        <v>114.35233160621759</v>
      </c>
      <c r="E29" s="200">
        <f>SUMPRODUCT(E11:E26,C11:C26)/SUM(C11:C26)</f>
        <v>74.652849740932595</v>
      </c>
      <c r="F29" s="198">
        <f>SUMPRODUCT(F11:F26,C11:C26)/SUM(C11:C26)</f>
        <v>58.25388601036267</v>
      </c>
      <c r="G29" s="189">
        <f>E29-F29</f>
        <v>16.398963730569925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49863134.999999993</v>
      </c>
      <c r="F42" s="57">
        <f t="shared" si="19"/>
        <v>2505325</v>
      </c>
      <c r="G42" s="57">
        <f t="shared" si="19"/>
        <v>47250342.774999999</v>
      </c>
      <c r="H42" s="57">
        <f t="shared" si="19"/>
        <v>-780835.84983118949</v>
      </c>
      <c r="I42" s="58">
        <f t="shared" si="19"/>
        <v>3286160.8498311895</v>
      </c>
      <c r="J42" s="58">
        <f t="shared" si="19"/>
        <v>46576974.150168806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6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9CCA-EA54-4BA2-AED4-3E90F4AF8D09}">
  <sheetPr>
    <pageSetUpPr fitToPage="1"/>
  </sheetPr>
  <dimension ref="A1:W62"/>
  <sheetViews>
    <sheetView showGridLines="0" zoomScale="90" zoomScaleNormal="90" workbookViewId="0">
      <selection sqref="A1:A4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207">
        <v>43983223</v>
      </c>
      <c r="C6" s="208"/>
      <c r="D6" s="16"/>
      <c r="E6" s="16"/>
      <c r="L6" s="95" t="s">
        <v>62</v>
      </c>
    </row>
    <row r="7" spans="1:21" x14ac:dyDescent="0.25">
      <c r="A7" s="7" t="s">
        <v>21</v>
      </c>
      <c r="B7" s="207">
        <v>1883173</v>
      </c>
      <c r="C7" s="208"/>
      <c r="D7" s="16"/>
      <c r="E7" s="16"/>
      <c r="F7" s="8"/>
      <c r="L7" s="95" t="s">
        <v>64</v>
      </c>
    </row>
    <row r="8" spans="1:21" x14ac:dyDescent="0.25">
      <c r="A8" s="7" t="s">
        <v>17</v>
      </c>
      <c r="B8" s="209">
        <f>-ROUND(G4,2)</f>
        <v>17.2</v>
      </c>
      <c r="C8" s="210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211">
        <v>0</v>
      </c>
      <c r="C9" s="212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 t="shared" si="8"/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F704-4DE6-46F0-813C-67173C123327}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207">
        <v>43983223</v>
      </c>
      <c r="C6" s="208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207">
        <v>1883173</v>
      </c>
      <c r="C7" s="208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209">
        <f>-ROUND(G3,2)</f>
        <v>17.2</v>
      </c>
      <c r="C8" s="210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211">
        <v>0</v>
      </c>
      <c r="C9" s="212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A10" sqref="A10:B22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213"/>
      <c r="C3" s="213"/>
    </row>
    <row r="8" spans="1:7" x14ac:dyDescent="0.25">
      <c r="A8" t="s">
        <v>40</v>
      </c>
      <c r="B8" s="214" t="s">
        <v>40</v>
      </c>
      <c r="C8" s="215"/>
      <c r="D8" s="214" t="s">
        <v>41</v>
      </c>
      <c r="E8" s="215"/>
      <c r="F8" s="214" t="s">
        <v>42</v>
      </c>
      <c r="G8" s="215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3.Just. avskrivningsmodell</vt:lpstr>
      <vt:lpstr>4.Just. avskrivningsmodell (2)</vt:lpstr>
      <vt:lpstr>5.Just. avskrivningsmodell (3)</vt:lpstr>
      <vt:lpstr>1.Avskrivningar med kommentarer</vt:lpstr>
      <vt:lpstr>2.Just. avskrivningar</vt:lpstr>
      <vt:lpstr>0.SABO riktvärden</vt:lpstr>
      <vt:lpstr>'1.Avskrivningar med kommentarer'!Print_Area</vt:lpstr>
      <vt:lpstr>'2.Just. avskrivningar'!Print_Area</vt:lpstr>
      <vt:lpstr>'3.Just. avskrivningsmodell'!Print_Area</vt:lpstr>
      <vt:lpstr>'4.Just. avskrivningsmodell (2)'!Print_Area</vt:lpstr>
      <vt:lpstr>'5.Just. avskrivningsmodell (3)'!Print_Area</vt:lpstr>
    </vt:vector>
  </TitlesOfParts>
  <Company>Finnhammars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Rickard Uddenberg</cp:lastModifiedBy>
  <cp:lastPrinted>2018-12-14T14:03:52Z</cp:lastPrinted>
  <dcterms:created xsi:type="dcterms:W3CDTF">2014-10-26T16:45:10Z</dcterms:created>
  <dcterms:modified xsi:type="dcterms:W3CDTF">2019-04-23T18:57:59Z</dcterms:modified>
</cp:coreProperties>
</file>